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LERS_SVPProgram\SVP Programs\SVP 2022_2023\5. Forms\2023-2024 forms\Calculators 2023-2024\"/>
    </mc:Choice>
  </mc:AlternateContent>
  <xr:revisionPtr revIDLastSave="0" documentId="13_ncr:1_{970DEBA8-3128-4DE2-B541-F07659D3C671}" xr6:coauthVersionLast="47" xr6:coauthVersionMax="47" xr10:uidLastSave="{00000000-0000-0000-0000-000000000000}"/>
  <workbookProtection workbookAlgorithmName="SHA-512" workbookHashValue="piGtVJdNKrO7S8r8QUERRFCY+4hyV+I+5WXWmOrXfjY6CmErJatOr3q8ZMWvZq891NtPwHsThhsw9msH+mu+BQ==" workbookSaltValue="1lcS+0CvG+c/4oOwB4t+eg==" workbookSpinCount="100000" lockStructure="1"/>
  <bookViews>
    <workbookView xWindow="57915" yWindow="45" windowWidth="28485" windowHeight="15210" xr2:uid="{8B306863-8171-48EE-AD75-A6E26B84FD2C}"/>
  </bookViews>
  <sheets>
    <sheet name="HVAC" sheetId="1" r:id="rId1"/>
    <sheet name="Heat Pump" sheetId="2" r:id="rId2"/>
  </sheets>
  <definedNames>
    <definedName name="_Hlk135040923" localSheetId="1">'Heat Pump'!$B$46</definedName>
    <definedName name="Five_EER">HVAC!$AT$37:$AT$38</definedName>
    <definedName name="Five_EER_Rebate">HVAC!$AT$37:$AU$38</definedName>
    <definedName name="Four_EER">HVAC!$AT$32:$AT$33</definedName>
    <definedName name="Four_EER_Rebate">HVAC!$AT$32:$AU$33</definedName>
    <definedName name="One_COP">'Heat Pump'!$AU$27</definedName>
    <definedName name="One_EER_HP">'Heat Pump'!$AT$27</definedName>
    <definedName name="One_Rebate">'Heat Pump'!$AT$27:$AV$27</definedName>
    <definedName name="One_SEER">HVAC!$AT$17:$AT$20</definedName>
    <definedName name="One_SEER_Rebate">HVAC!$AT$17:$AU$20</definedName>
    <definedName name="Three_COP">'Heat Pump'!$AU$33:$AU$34</definedName>
    <definedName name="Three_EER">HVAC!$AT$29</definedName>
    <definedName name="Three_EER_HP">'Heat Pump'!$AT$33:$AT$34</definedName>
    <definedName name="Three_EER_Rebate">HVAC!$AT$29:$AU$29</definedName>
    <definedName name="Three_Rebate">'Heat Pump'!$AT$33:$AV$34</definedName>
    <definedName name="Two_COP">'Heat Pump'!$AU$30</definedName>
    <definedName name="Two_EER">HVAC!$AT$25:$AT$26</definedName>
    <definedName name="Two_EER_HP">'Heat Pump'!$AT$30</definedName>
    <definedName name="Two_EER_Rebate">HVAC!$AT$25:$AU$26</definedName>
    <definedName name="Two_Rebate">'Heat Pump'!$AT$30:$AV$30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2" l="1"/>
  <c r="I19" i="2"/>
  <c r="I20" i="2"/>
  <c r="I21" i="2"/>
  <c r="H18" i="2"/>
  <c r="I18" i="2" s="1"/>
  <c r="H19" i="2"/>
  <c r="H20" i="2"/>
  <c r="H21" i="2"/>
  <c r="AI19" i="2"/>
  <c r="AI20" i="2"/>
  <c r="AI21" i="2"/>
  <c r="AH19" i="2"/>
  <c r="AH20" i="2"/>
  <c r="AH21" i="2"/>
  <c r="AJ28" i="2" l="1"/>
  <c r="AJ29" i="2"/>
  <c r="AJ30" i="2"/>
  <c r="AJ31" i="2"/>
  <c r="AI28" i="2"/>
  <c r="AI29" i="2"/>
  <c r="AI30" i="2"/>
  <c r="AI31" i="2"/>
  <c r="H28" i="1"/>
  <c r="I28" i="1" s="1"/>
  <c r="H30" i="1"/>
  <c r="I30" i="1" s="1"/>
  <c r="AI28" i="1"/>
  <c r="AI29" i="1"/>
  <c r="AI30" i="1"/>
  <c r="AI31" i="1"/>
  <c r="AI32" i="1"/>
  <c r="H31" i="1"/>
  <c r="AJ31" i="1"/>
  <c r="AJ32" i="1"/>
  <c r="I42" i="2" l="1"/>
  <c r="AJ38" i="2"/>
  <c r="AN38" i="2" s="1"/>
  <c r="I38" i="2" s="1"/>
  <c r="AJ39" i="2"/>
  <c r="AJ40" i="2"/>
  <c r="AJ41" i="2"/>
  <c r="AJ37" i="2"/>
  <c r="AI38" i="2"/>
  <c r="AI39" i="2"/>
  <c r="AN39" i="2" s="1"/>
  <c r="I39" i="2" s="1"/>
  <c r="AI40" i="2"/>
  <c r="AN40" i="2" s="1"/>
  <c r="I40" i="2" s="1"/>
  <c r="AI41" i="2"/>
  <c r="AN41" i="2" s="1"/>
  <c r="I41" i="2" s="1"/>
  <c r="AI37" i="2"/>
  <c r="AI27" i="1" l="1"/>
  <c r="AG38" i="2"/>
  <c r="AG39" i="2"/>
  <c r="AG40" i="2"/>
  <c r="AG41" i="2"/>
  <c r="AG37" i="2"/>
  <c r="AF38" i="2"/>
  <c r="AH38" i="2" s="1"/>
  <c r="AF39" i="2"/>
  <c r="AH39" i="2" s="1"/>
  <c r="AL39" i="2" s="1"/>
  <c r="AF40" i="2"/>
  <c r="AH40" i="2" s="1"/>
  <c r="AF41" i="2"/>
  <c r="AH41" i="2" s="1"/>
  <c r="AF37" i="2"/>
  <c r="AH37" i="2" s="1"/>
  <c r="AI27" i="2"/>
  <c r="AJ27" i="2"/>
  <c r="AG28" i="2"/>
  <c r="AG29" i="2"/>
  <c r="AG30" i="2"/>
  <c r="AG31" i="2"/>
  <c r="AG27" i="2"/>
  <c r="AF28" i="2"/>
  <c r="AF29" i="2"/>
  <c r="AF30" i="2"/>
  <c r="AF31" i="2"/>
  <c r="AF27" i="2"/>
  <c r="AE18" i="2"/>
  <c r="AH18" i="2" s="1"/>
  <c r="AI18" i="2" s="1"/>
  <c r="AF18" i="2"/>
  <c r="AG18" i="2"/>
  <c r="AE19" i="2"/>
  <c r="AF19" i="2"/>
  <c r="AG19" i="2"/>
  <c r="AE20" i="2"/>
  <c r="AF20" i="2"/>
  <c r="AG20" i="2"/>
  <c r="AE21" i="2"/>
  <c r="AF21" i="2"/>
  <c r="AG21" i="2"/>
  <c r="AG17" i="2"/>
  <c r="AF17" i="2"/>
  <c r="AE28" i="1"/>
  <c r="AE29" i="1"/>
  <c r="AE30" i="1"/>
  <c r="AE31" i="1"/>
  <c r="AE32" i="1"/>
  <c r="AE27" i="1"/>
  <c r="AE18" i="1"/>
  <c r="AE19" i="1"/>
  <c r="AE20" i="1"/>
  <c r="AE21" i="1"/>
  <c r="AE17" i="1"/>
  <c r="AE17" i="2"/>
  <c r="AH31" i="2" l="1"/>
  <c r="AH30" i="2"/>
  <c r="AH29" i="2"/>
  <c r="AH28" i="2"/>
  <c r="AH27" i="2"/>
  <c r="AK27" i="2" s="1"/>
  <c r="AH17" i="2"/>
  <c r="AI17" i="2" s="1"/>
  <c r="H17" i="2"/>
  <c r="AL37" i="2"/>
  <c r="AK37" i="2"/>
  <c r="AL38" i="2"/>
  <c r="AK38" i="2"/>
  <c r="AL41" i="2"/>
  <c r="AK41" i="2"/>
  <c r="AM41" i="2" s="1"/>
  <c r="AO41" i="2" s="1"/>
  <c r="J41" i="2" s="1"/>
  <c r="AL40" i="2"/>
  <c r="AK40" i="2"/>
  <c r="AK39" i="2"/>
  <c r="AM39" i="2" s="1"/>
  <c r="AO39" i="2" s="1"/>
  <c r="J39" i="2" s="1"/>
  <c r="AL27" i="2" l="1"/>
  <c r="AL28" i="2"/>
  <c r="AK28" i="2"/>
  <c r="AL29" i="2"/>
  <c r="AK29" i="2"/>
  <c r="AL30" i="2"/>
  <c r="AK30" i="2"/>
  <c r="AK31" i="2"/>
  <c r="AL31" i="2"/>
  <c r="I17" i="2"/>
  <c r="AM37" i="2"/>
  <c r="AN37" i="2" s="1"/>
  <c r="I37" i="2" s="1"/>
  <c r="AM38" i="2"/>
  <c r="AO38" i="2" s="1"/>
  <c r="J38" i="2" s="1"/>
  <c r="AM40" i="2"/>
  <c r="AO40" i="2" s="1"/>
  <c r="J40" i="2" s="1"/>
  <c r="AM30" i="2" l="1"/>
  <c r="AN30" i="2" s="1"/>
  <c r="I30" i="2" s="1"/>
  <c r="AM29" i="2"/>
  <c r="AN29" i="2" s="1"/>
  <c r="I29" i="2" s="1"/>
  <c r="AM28" i="2"/>
  <c r="AN28" i="2" s="1"/>
  <c r="I28" i="2" s="1"/>
  <c r="AM31" i="2"/>
  <c r="AN31" i="2" s="1"/>
  <c r="I31" i="2" s="1"/>
  <c r="AM27" i="2"/>
  <c r="I22" i="2"/>
  <c r="AO37" i="2"/>
  <c r="J37" i="2" s="1"/>
  <c r="J42" i="2" s="1"/>
  <c r="AO31" i="2" l="1"/>
  <c r="J31" i="2" s="1"/>
  <c r="AO30" i="2"/>
  <c r="J30" i="2" s="1"/>
  <c r="AO29" i="2"/>
  <c r="J29" i="2" s="1"/>
  <c r="AO28" i="2"/>
  <c r="J28" i="2" s="1"/>
  <c r="AN27" i="2"/>
  <c r="I27" i="2" s="1"/>
  <c r="AF28" i="1"/>
  <c r="AF29" i="1"/>
  <c r="AF30" i="1"/>
  <c r="AF31" i="1"/>
  <c r="AF32" i="1"/>
  <c r="AF27" i="1"/>
  <c r="AF18" i="1"/>
  <c r="AF19" i="1"/>
  <c r="AF20" i="1"/>
  <c r="AF21" i="1"/>
  <c r="AF17" i="1"/>
  <c r="AG28" i="1" a="1"/>
  <c r="AG28" i="1" s="1"/>
  <c r="AH28" i="1" s="1"/>
  <c r="AG29" i="1" a="1"/>
  <c r="AG29" i="1" s="1"/>
  <c r="AH29" i="1" s="1"/>
  <c r="AG30" i="1" a="1"/>
  <c r="AG30" i="1" s="1"/>
  <c r="AH30" i="1" s="1"/>
  <c r="AG31" i="1" a="1"/>
  <c r="AG31" i="1" s="1"/>
  <c r="AH31" i="1" s="1"/>
  <c r="AG32" i="1" a="1"/>
  <c r="AG32" i="1" s="1"/>
  <c r="AH32" i="1" s="1"/>
  <c r="AK32" i="1" s="1"/>
  <c r="AO27" i="2" l="1"/>
  <c r="J27" i="2" s="1"/>
  <c r="J32" i="2" s="1"/>
  <c r="AJ30" i="1"/>
  <c r="AK30" i="1" s="1"/>
  <c r="AJ29" i="1"/>
  <c r="H29" i="1" s="1"/>
  <c r="AJ28" i="1"/>
  <c r="AK28" i="1" s="1"/>
  <c r="I31" i="1"/>
  <c r="AK31" i="1"/>
  <c r="I29" i="1" l="1"/>
  <c r="AK29" i="1"/>
  <c r="AG27" i="1" a="1"/>
  <c r="AG27" i="1" s="1"/>
  <c r="AH27" i="1" s="1"/>
  <c r="AJ27" i="1" l="1"/>
  <c r="H27" i="1" s="1"/>
  <c r="AK27" i="1" l="1"/>
  <c r="I27" i="1" s="1"/>
  <c r="I32" i="1" s="1"/>
  <c r="AH18" i="1"/>
  <c r="AH19" i="1"/>
  <c r="AH20" i="1"/>
  <c r="AH21" i="1"/>
  <c r="AG18" i="1"/>
  <c r="AG19" i="1"/>
  <c r="AG20" i="1"/>
  <c r="AG21" i="1"/>
  <c r="AH17" i="1"/>
  <c r="AU38" i="1"/>
  <c r="AU37" i="1"/>
  <c r="AU33" i="1"/>
  <c r="AU32" i="1"/>
  <c r="AU29" i="1"/>
  <c r="AU26" i="1"/>
  <c r="AU25" i="1"/>
  <c r="AU20" i="1"/>
  <c r="AU19" i="1"/>
  <c r="AU18" i="1"/>
  <c r="AU17" i="1"/>
  <c r="AG17" i="1"/>
  <c r="AI17" i="1" s="1"/>
  <c r="AI21" i="1" l="1"/>
  <c r="AJ21" i="1" s="1"/>
  <c r="AI19" i="1"/>
  <c r="AJ19" i="1" s="1"/>
  <c r="AI20" i="1"/>
  <c r="AJ20" i="1" s="1"/>
  <c r="AI18" i="1"/>
  <c r="AJ18" i="1" s="1"/>
  <c r="AJ17" i="1"/>
  <c r="AK17" i="1" s="1"/>
  <c r="AR18" i="1"/>
  <c r="AR17" i="1"/>
  <c r="AR20" i="1"/>
  <c r="AR19" i="1"/>
  <c r="AR21" i="1"/>
  <c r="AK20" i="1" l="1"/>
  <c r="AK19" i="1"/>
  <c r="AK21" i="1"/>
  <c r="AK18" i="1"/>
  <c r="AL20" i="1" a="1"/>
  <c r="AL19" i="1" a="1"/>
  <c r="AL21" i="1" a="1"/>
  <c r="AL18" i="1" a="1"/>
  <c r="AL17" i="1" a="1"/>
  <c r="AL21" i="1" l="1"/>
  <c r="H21" i="1" s="1"/>
  <c r="AL19" i="1"/>
  <c r="H19" i="1" s="1"/>
  <c r="AL20" i="1"/>
  <c r="H20" i="1" s="1"/>
  <c r="AL18" i="1"/>
  <c r="H18" i="1" s="1"/>
  <c r="AL17" i="1"/>
  <c r="H17" i="1" s="1"/>
  <c r="AM19" i="1" l="1"/>
  <c r="AM21" i="1"/>
  <c r="I21" i="1" s="1"/>
  <c r="AM20" i="1"/>
  <c r="I20" i="1" s="1"/>
  <c r="I19" i="1"/>
  <c r="AM18" i="1"/>
  <c r="I18" i="1" s="1"/>
  <c r="AM17" i="1"/>
  <c r="I17" i="1" s="1"/>
  <c r="I22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<sst xmlns="http://schemas.openxmlformats.org/spreadsheetml/2006/main" count="216" uniqueCount="115">
  <si>
    <t>SVP Air Conditioning Rebate Calculator</t>
  </si>
  <si>
    <t>Instructions for Using Rebate Calculator</t>
  </si>
  <si>
    <t>1. Use the below tables to estimate your potential rebate amount.</t>
  </si>
  <si>
    <t>2. The tables are based on unit type and size (rated cooling capacity of the unit).</t>
  </si>
  <si>
    <t>3. Enter the quantity of each unit make and model being installed.</t>
  </si>
  <si>
    <t>4. Enter the size in either tons or Btuh of rated capacity, then select the appropriate units.</t>
  </si>
  <si>
    <t>5. Enter the applicable AHRI rated efficiency for each unit (as listed in the manufacturer's technical specifications).</t>
  </si>
  <si>
    <t>7. Transfer the information to into the SVP rebate application form and submit a copy of this calculator.</t>
  </si>
  <si>
    <t>8. For equipment and program eligibility rules, see the SVP rebate application form.</t>
  </si>
  <si>
    <t>Rebate Amount</t>
  </si>
  <si>
    <t>Unitary Air Conditioner, Air Cooled</t>
  </si>
  <si>
    <t>Item #</t>
  </si>
  <si>
    <t>Make &amp; Model</t>
  </si>
  <si>
    <t># of Units</t>
  </si>
  <si>
    <t>Total Rebate</t>
  </si>
  <si>
    <t>Unitary Air Conditioner</t>
  </si>
  <si>
    <t>Unit Size</t>
  </si>
  <si>
    <t>Unit Size Group</t>
  </si>
  <si>
    <t>SEER or EER</t>
  </si>
  <si>
    <t>Rebate Level</t>
  </si>
  <si>
    <t>SEER/EER</t>
  </si>
  <si>
    <t>Rebate Categories and Levels </t>
  </si>
  <si>
    <t>Single Packaged and Split Systems</t>
  </si>
  <si>
    <t>Unit Efficiency</t>
  </si>
  <si>
    <t>15 SEER</t>
  </si>
  <si>
    <t>16 SEER</t>
  </si>
  <si>
    <t>17 SEER</t>
  </si>
  <si>
    <t>Rebate</t>
  </si>
  <si>
    <t>12.5 EER</t>
  </si>
  <si>
    <t>13 EER</t>
  </si>
  <si>
    <t>12 EER</t>
  </si>
  <si>
    <t>10.8 EER</t>
  </si>
  <si>
    <t>11.5 EER</t>
  </si>
  <si>
    <t>10.2 EER</t>
  </si>
  <si>
    <t>11.0 EER</t>
  </si>
  <si>
    <t>Packaged Terminal Air Conditioner</t>
  </si>
  <si>
    <t xml:space="preserve"> Unit Efficiency</t>
  </si>
  <si>
    <t>≤ 7,000 BTU/hr</t>
  </si>
  <si>
    <t>11.29 EER</t>
  </si>
  <si>
    <t>$100/ton</t>
  </si>
  <si>
    <t>10.27 EER</t>
  </si>
  <si>
    <t>9.25 EER</t>
  </si>
  <si>
    <t>One_SEER</t>
  </si>
  <si>
    <t>18 SEER</t>
  </si>
  <si>
    <t>Two_EER</t>
  </si>
  <si>
    <t>Three_EER</t>
  </si>
  <si>
    <t>Four_EER</t>
  </si>
  <si>
    <t>Five_EER</t>
  </si>
  <si>
    <t>SEER/EER Value</t>
  </si>
  <si>
    <t>Row 1 Match</t>
  </si>
  <si>
    <t>Row 2 Match</t>
  </si>
  <si>
    <t>Row 3 Match</t>
  </si>
  <si>
    <t>Row 4 Match</t>
  </si>
  <si>
    <t>Row 5 Match</t>
  </si>
  <si>
    <t>Indirect Size</t>
  </si>
  <si>
    <t>Indirect Rebate Level</t>
  </si>
  <si>
    <t>One_SEER_Rebate</t>
  </si>
  <si>
    <t>Two_EER_Rebate</t>
  </si>
  <si>
    <t>Three_EER_Rebate</t>
  </si>
  <si>
    <t>Four_EER_Rebate</t>
  </si>
  <si>
    <t>Five_EER_Rebate</t>
  </si>
  <si>
    <t>EER Eligibility</t>
  </si>
  <si>
    <t>Min EER</t>
  </si>
  <si>
    <t>EER</t>
  </si>
  <si>
    <t>Rebate ($/ton)</t>
  </si>
  <si>
    <t>Rebate  ($/Ton)</t>
  </si>
  <si>
    <t>No. of Units</t>
  </si>
  <si>
    <r>
      <rPr>
        <sz val="9"/>
        <color theme="1"/>
        <rFont val="Calibri"/>
        <family val="2"/>
      </rPr>
      <t>&gt;</t>
    </r>
    <r>
      <rPr>
        <sz val="9"/>
        <color theme="1"/>
        <rFont val="Arial"/>
        <family val="2"/>
      </rPr>
      <t xml:space="preserve"> 7,000 </t>
    </r>
    <r>
      <rPr>
        <sz val="9"/>
        <color theme="1"/>
        <rFont val="Calibri"/>
        <family val="2"/>
      </rPr>
      <t>≤</t>
    </r>
    <r>
      <rPr>
        <sz val="9"/>
        <color theme="1"/>
        <rFont val="Arial"/>
        <family val="2"/>
      </rPr>
      <t xml:space="preserve"> 15,000 BTU/hr</t>
    </r>
  </si>
  <si>
    <r>
      <rPr>
        <sz val="9"/>
        <color theme="1"/>
        <rFont val="Calibri"/>
        <family val="2"/>
      </rPr>
      <t>&gt;</t>
    </r>
    <r>
      <rPr>
        <sz val="9"/>
        <color theme="1"/>
        <rFont val="Arial"/>
        <family val="2"/>
      </rPr>
      <t xml:space="preserve"> 15,000 </t>
    </r>
    <r>
      <rPr>
        <sz val="9"/>
        <color theme="1"/>
        <rFont val="Calibri"/>
        <family val="2"/>
      </rPr>
      <t>≤</t>
    </r>
    <r>
      <rPr>
        <sz val="9"/>
        <color theme="1"/>
        <rFont val="Arial"/>
        <family val="2"/>
      </rPr>
      <t xml:space="preserve"> 24,000 BTU/hr</t>
    </r>
  </si>
  <si>
    <t>6. For unitary units smaller than 5.4 tons or 65,000 BTU/hr, enter SEER ratings. For unitary units larger than 5.4 tons, enter the EER ratings.</t>
  </si>
  <si>
    <t>Unit Size (tons or BTU/hr)</t>
  </si>
  <si>
    <t>Size Units (tons or BTU/hr)</t>
  </si>
  <si>
    <t>0 ≤ 5.4 tons</t>
  </si>
  <si>
    <t>Unit Efficiency (SEER)</t>
  </si>
  <si>
    <t>$50/ton</t>
  </si>
  <si>
    <t xml:space="preserve">$100/ton </t>
  </si>
  <si>
    <t xml:space="preserve">$125/ton </t>
  </si>
  <si>
    <t xml:space="preserve">$150/ton </t>
  </si>
  <si>
    <t>&gt; 5.4 tons ≤ 11.25 tons</t>
  </si>
  <si>
    <t>Unit Efficiency (EER/COP)</t>
  </si>
  <si>
    <t>12.0/3.55</t>
  </si>
  <si>
    <t>&gt; 11.25 tons ≤ 20 tons</t>
  </si>
  <si>
    <t>11.2/3.51</t>
  </si>
  <si>
    <t xml:space="preserve">&gt; 20 tons ≤ 63.3 tons </t>
  </si>
  <si>
    <t>10.0/3.3</t>
  </si>
  <si>
    <t>11.5/3.3</t>
  </si>
  <si>
    <t xml:space="preserve"> Unit Efficiency (EER/COP)</t>
  </si>
  <si>
    <t>11.1/3.26</t>
  </si>
  <si>
    <t>&gt; 7,000 ≤ 15,000 BTU/hr</t>
  </si>
  <si>
    <t>10.1/3.13</t>
  </si>
  <si>
    <t>&gt; 15,000 ≤ 24,000 BTU/hr</t>
  </si>
  <si>
    <t>9.1/3.01</t>
  </si>
  <si>
    <t>Unitary Heat Pump</t>
  </si>
  <si>
    <t>&lt;5.4 tons</t>
  </si>
  <si>
    <t>SEER</t>
  </si>
  <si>
    <t xml:space="preserve">Unitary Heat Pump </t>
  </si>
  <si>
    <t>SEER Value</t>
  </si>
  <si>
    <t>&gt;5.4 tons</t>
  </si>
  <si>
    <t>EER Value</t>
  </si>
  <si>
    <t>COP Value</t>
  </si>
  <si>
    <t>Size Level</t>
  </si>
  <si>
    <t>COP</t>
  </si>
  <si>
    <t>Rebate ($/Ton)</t>
  </si>
  <si>
    <t xml:space="preserve">EER Eligible </t>
  </si>
  <si>
    <t>COP Eligible</t>
  </si>
  <si>
    <t>Overall Eligible</t>
  </si>
  <si>
    <t>PTAC Heat Pump Units</t>
  </si>
  <si>
    <t>Min COP</t>
  </si>
  <si>
    <t>COP Eligibility</t>
  </si>
  <si>
    <t xml:space="preserve">Overall </t>
  </si>
  <si>
    <t>4. Enter the size in either tons or BTU/hr of rated capacity, then select the appropriate units.</t>
  </si>
  <si>
    <t>6. For unitary units smaller than 5.4 tons or 65,000 BTU/hr, enter SEER ratings. For unitary units larger than 5.4 tons, enter the EER and COP ratings.</t>
  </si>
  <si>
    <t>&gt;63.3 Tons</t>
  </si>
  <si>
    <r>
      <t xml:space="preserve">0 </t>
    </r>
    <r>
      <rPr>
        <sz val="9"/>
        <color theme="1"/>
        <rFont val="Calibri"/>
        <family val="2"/>
      </rPr>
      <t xml:space="preserve">≤ </t>
    </r>
    <r>
      <rPr>
        <sz val="9"/>
        <color theme="1"/>
        <rFont val="Arial"/>
        <family val="2"/>
      </rPr>
      <t>5.4 Tons</t>
    </r>
  </si>
  <si>
    <r>
      <t xml:space="preserve">&gt; 5.4 </t>
    </r>
    <r>
      <rPr>
        <sz val="9"/>
        <color theme="1"/>
        <rFont val="Calibri"/>
        <family val="2"/>
      </rPr>
      <t>≤ 11.25 Tons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</si>
</sst>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164" formatCode="&quot;$&quot;#,##0"/>
    <numFmt numFmtId="165" formatCode="#,##0.0"/>
    <numFmt numFmtId="166" formatCode="&quot;$&quot;##&quot;/Ton&quot;"/>
    <numFmt numFmtId="167" formatCode="&quot;$&quot;##&quot;/ton&quot;"/>
  </numFmts>
  <fonts count="12" x14ac:knownFonts="1">
    <font>
      <sz val="11"/>
      <color theme="1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9CCFF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2" borderId="3" xfId="0" applyFont="1" applyFill="1" applyBorder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6" fontId="6" fillId="0" borderId="0" xfId="0" applyNumberFormat="1" applyFont="1" applyAlignment="1">
      <alignment horizontal="center" vertical="center" wrapText="1"/>
    </xf>
    <xf numFmtId="6" fontId="6" fillId="0" borderId="0" xfId="0" applyNumberFormat="1" applyFont="1" applyAlignment="1">
      <alignment horizontal="center" vertical="center"/>
    </xf>
    <xf numFmtId="6" fontId="0" fillId="0" borderId="0" xfId="0" applyNumberFormat="1"/>
    <xf numFmtId="3" fontId="3" fillId="4" borderId="4" xfId="0" applyNumberFormat="1" applyFont="1" applyFill="1" applyBorder="1" applyAlignment="1"/>
    <xf numFmtId="3" fontId="3" fillId="4" borderId="1" xfId="0" applyNumberFormat="1" applyFont="1" applyFill="1" applyBorder="1" applyAlignment="1"/>
    <xf numFmtId="3" fontId="3" fillId="4" borderId="2" xfId="0" applyNumberFormat="1" applyFont="1" applyFill="1" applyBorder="1" applyAlignment="1"/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1" fillId="3" borderId="4" xfId="0" applyFont="1" applyFill="1" applyBorder="1" applyAlignment="1"/>
    <xf numFmtId="0" fontId="5" fillId="3" borderId="1" xfId="0" applyFont="1" applyFill="1" applyBorder="1" applyAlignment="1">
      <alignment vertical="center"/>
    </xf>
    <xf numFmtId="0" fontId="1" fillId="3" borderId="1" xfId="0" applyFont="1" applyFill="1" applyBorder="1" applyAlignment="1"/>
    <xf numFmtId="0" fontId="1" fillId="3" borderId="2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/>
    <xf numFmtId="0" fontId="0" fillId="4" borderId="15" xfId="0" applyFill="1" applyBorder="1"/>
    <xf numFmtId="0" fontId="8" fillId="3" borderId="8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9" fillId="0" borderId="11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9" fillId="0" borderId="13" xfId="0" applyFont="1" applyBorder="1" applyAlignment="1">
      <alignment horizontal="right" vertical="center"/>
    </xf>
    <xf numFmtId="0" fontId="8" fillId="3" borderId="11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/>
    </xf>
    <xf numFmtId="3" fontId="3" fillId="2" borderId="0" xfId="0" applyNumberFormat="1" applyFont="1" applyFill="1" applyBorder="1"/>
    <xf numFmtId="0" fontId="4" fillId="2" borderId="0" xfId="0" applyFont="1" applyFill="1" applyBorder="1"/>
    <xf numFmtId="3" fontId="4" fillId="2" borderId="0" xfId="0" applyNumberFormat="1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3" fontId="4" fillId="2" borderId="0" xfId="0" applyNumberFormat="1" applyFont="1" applyFill="1" applyBorder="1"/>
    <xf numFmtId="0" fontId="0" fillId="2" borderId="28" xfId="0" applyFill="1" applyBorder="1"/>
    <xf numFmtId="0" fontId="0" fillId="2" borderId="25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14" xfId="0" applyFill="1" applyBorder="1"/>
    <xf numFmtId="0" fontId="0" fillId="4" borderId="31" xfId="0" applyFill="1" applyBorder="1"/>
    <xf numFmtId="0" fontId="7" fillId="3" borderId="33" xfId="0" applyFont="1" applyFill="1" applyBorder="1" applyAlignment="1"/>
    <xf numFmtId="0" fontId="7" fillId="3" borderId="34" xfId="0" applyFont="1" applyFill="1" applyBorder="1" applyAlignment="1"/>
    <xf numFmtId="0" fontId="0" fillId="3" borderId="35" xfId="0" applyFill="1" applyBorder="1"/>
    <xf numFmtId="164" fontId="0" fillId="2" borderId="0" xfId="0" applyNumberFormat="1" applyFill="1" applyBorder="1"/>
    <xf numFmtId="0" fontId="8" fillId="0" borderId="11" xfId="0" applyFont="1" applyFill="1" applyBorder="1" applyAlignment="1">
      <alignment horizontal="right" vertical="center" wrapText="1"/>
    </xf>
    <xf numFmtId="0" fontId="8" fillId="0" borderId="12" xfId="0" applyFont="1" applyFill="1" applyBorder="1" applyAlignment="1">
      <alignment horizontal="righ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right" vertical="center"/>
    </xf>
    <xf numFmtId="0" fontId="7" fillId="4" borderId="0" xfId="0" applyFont="1" applyFill="1" applyBorder="1" applyAlignment="1">
      <alignment horizontal="center" vertical="center" wrapText="1"/>
    </xf>
    <xf numFmtId="164" fontId="2" fillId="0" borderId="0" xfId="0" applyNumberFormat="1" applyFont="1" applyBorder="1" applyAlignment="1" applyProtection="1">
      <alignment horizontal="center" vertical="center"/>
      <protection hidden="1"/>
    </xf>
    <xf numFmtId="164" fontId="0" fillId="4" borderId="0" xfId="0" applyNumberFormat="1" applyFill="1" applyBorder="1" applyProtection="1">
      <protection hidden="1"/>
    </xf>
    <xf numFmtId="0" fontId="7" fillId="3" borderId="35" xfId="0" applyFont="1" applyFill="1" applyBorder="1" applyAlignment="1"/>
    <xf numFmtId="0" fontId="7" fillId="4" borderId="31" xfId="0" applyFont="1" applyFill="1" applyBorder="1" applyAlignment="1">
      <alignment horizontal="center" vertical="center" wrapText="1"/>
    </xf>
    <xf numFmtId="164" fontId="2" fillId="0" borderId="31" xfId="0" applyNumberFormat="1" applyFont="1" applyBorder="1" applyAlignment="1" applyProtection="1">
      <alignment horizontal="center" vertical="center"/>
      <protection hidden="1"/>
    </xf>
    <xf numFmtId="0" fontId="7" fillId="4" borderId="32" xfId="0" applyFont="1" applyFill="1" applyBorder="1" applyAlignment="1">
      <alignment horizontal="center" vertical="center" wrapText="1"/>
    </xf>
    <xf numFmtId="0" fontId="2" fillId="0" borderId="32" xfId="0" applyFont="1" applyBorder="1" applyAlignment="1" applyProtection="1">
      <alignment horizontal="center" vertical="center"/>
      <protection locked="0"/>
    </xf>
    <xf numFmtId="0" fontId="7" fillId="4" borderId="31" xfId="0" applyFont="1" applyFill="1" applyBorder="1" applyAlignment="1">
      <alignment horizontal="center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0" fillId="4" borderId="10" xfId="0" applyFill="1" applyBorder="1"/>
    <xf numFmtId="165" fontId="2" fillId="0" borderId="31" xfId="0" applyNumberFormat="1" applyFont="1" applyBorder="1" applyAlignment="1" applyProtection="1">
      <alignment horizontal="center" vertical="center"/>
      <protection locked="0"/>
    </xf>
    <xf numFmtId="3" fontId="2" fillId="0" borderId="31" xfId="0" applyNumberFormat="1" applyFont="1" applyBorder="1" applyAlignment="1" applyProtection="1">
      <alignment horizontal="center" vertical="center"/>
      <protection locked="0"/>
    </xf>
    <xf numFmtId="0" fontId="0" fillId="4" borderId="10" xfId="0" applyFill="1" applyBorder="1" applyProtection="1">
      <protection hidden="1"/>
    </xf>
    <xf numFmtId="0" fontId="2" fillId="0" borderId="21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3" fontId="2" fillId="0" borderId="30" xfId="0" applyNumberFormat="1" applyFont="1" applyBorder="1" applyAlignment="1" applyProtection="1">
      <alignment horizontal="center" vertical="center"/>
      <protection locked="0"/>
    </xf>
    <xf numFmtId="164" fontId="2" fillId="0" borderId="30" xfId="0" applyNumberFormat="1" applyFont="1" applyBorder="1" applyAlignment="1" applyProtection="1">
      <alignment horizontal="center" vertical="center"/>
      <protection hidden="1"/>
    </xf>
    <xf numFmtId="164" fontId="2" fillId="0" borderId="29" xfId="0" applyNumberFormat="1" applyFont="1" applyBorder="1" applyAlignment="1" applyProtection="1">
      <alignment horizontal="center" vertical="center"/>
      <protection hidden="1"/>
    </xf>
    <xf numFmtId="0" fontId="0" fillId="4" borderId="31" xfId="0" applyFill="1" applyBorder="1" applyProtection="1">
      <protection hidden="1"/>
    </xf>
    <xf numFmtId="164" fontId="2" fillId="4" borderId="0" xfId="0" applyNumberFormat="1" applyFont="1" applyFill="1" applyBorder="1" applyProtection="1">
      <protection hidden="1"/>
    </xf>
    <xf numFmtId="164" fontId="2" fillId="4" borderId="10" xfId="0" applyNumberFormat="1" applyFont="1" applyFill="1" applyBorder="1" applyProtection="1">
      <protection hidden="1"/>
    </xf>
    <xf numFmtId="164" fontId="2" fillId="4" borderId="31" xfId="0" applyNumberFormat="1" applyFont="1" applyFill="1" applyBorder="1" applyProtection="1">
      <protection hidden="1"/>
    </xf>
    <xf numFmtId="164" fontId="2" fillId="4" borderId="10" xfId="0" applyNumberFormat="1" applyFont="1" applyFill="1" applyBorder="1" applyAlignment="1" applyProtection="1">
      <alignment horizontal="center"/>
      <protection hidden="1"/>
    </xf>
    <xf numFmtId="165" fontId="2" fillId="0" borderId="30" xfId="0" applyNumberFormat="1" applyFont="1" applyBorder="1" applyAlignment="1" applyProtection="1">
      <alignment horizontal="center" vertical="center"/>
      <protection locked="0"/>
    </xf>
    <xf numFmtId="167" fontId="10" fillId="0" borderId="12" xfId="0" applyNumberFormat="1" applyFont="1" applyBorder="1" applyAlignment="1">
      <alignment horizontal="center" vertical="center" wrapText="1"/>
    </xf>
    <xf numFmtId="167" fontId="10" fillId="0" borderId="12" xfId="0" applyNumberFormat="1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167" fontId="10" fillId="0" borderId="16" xfId="0" applyNumberFormat="1" applyFont="1" applyBorder="1" applyAlignment="1">
      <alignment horizontal="center" vertical="center" wrapText="1"/>
    </xf>
    <xf numFmtId="167" fontId="10" fillId="0" borderId="17" xfId="0" applyNumberFormat="1" applyFont="1" applyBorder="1" applyAlignment="1">
      <alignment horizontal="center" vertical="center" wrapText="1"/>
    </xf>
    <xf numFmtId="167" fontId="10" fillId="0" borderId="16" xfId="0" applyNumberFormat="1" applyFont="1" applyBorder="1" applyAlignment="1">
      <alignment horizontal="center" vertical="center"/>
    </xf>
    <xf numFmtId="167" fontId="10" fillId="0" borderId="17" xfId="0" applyNumberFormat="1" applyFont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166" fontId="10" fillId="0" borderId="16" xfId="0" applyNumberFormat="1" applyFont="1" applyBorder="1" applyAlignment="1">
      <alignment horizontal="center" vertical="center" wrapText="1"/>
    </xf>
    <xf numFmtId="166" fontId="10" fillId="0" borderId="22" xfId="0" applyNumberFormat="1" applyFont="1" applyBorder="1" applyAlignment="1">
      <alignment horizontal="center" vertical="center" wrapText="1"/>
    </xf>
    <xf numFmtId="166" fontId="10" fillId="0" borderId="17" xfId="0" applyNumberFormat="1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5" fillId="3" borderId="11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Normal" xfId="0" builtinId="0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protection locked="0" hidden="0"/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/>
        <top/>
        <bottom style="double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3" formatCode="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 style="double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bottom style="double">
          <color indexed="64"/>
        </bottom>
      </border>
    </dxf>
    <dxf>
      <border outline="0">
        <bottom style="double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4" formatCode="&quot;$&quot;#,##0"/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65" formatCode="#,##0.0"/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right style="thin">
          <color indexed="64"/>
        </right>
        <top/>
        <bottom/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solid">
          <fgColor indexed="64"/>
          <bgColor rgb="FF99CCF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C2D69B"/>
      <color rgb="FF99CCFF"/>
      <color rgb="FFCCFFCC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2B0D662-2E31-41DC-A293-5508A116AEBD}" name="Table4" displayName="Table4" ref="B16:I21" totalsRowShown="0" headerRowDxfId="53">
  <autoFilter ref="B16:I21" xr:uid="{62B0D662-2E31-41DC-A293-5508A116AEB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86E5D1FA-E450-4479-928D-227C9009E3A3}" name="Item #" dataDxfId="52"/>
    <tableColumn id="2" xr3:uid="{59B29550-39F5-457E-A299-19D6F6FA1D61}" name="Make &amp; Model" dataDxfId="51"/>
    <tableColumn id="3" xr3:uid="{BE9AB8E9-95BF-49AD-A51E-96860C24F2F2}" name="# of Units" dataDxfId="50"/>
    <tableColumn id="4" xr3:uid="{7681AFD5-5F5E-4614-AA92-4DD44CD0CF3A}" name="Unit Size (tons or BTU/hr)" dataDxfId="49"/>
    <tableColumn id="5" xr3:uid="{166DAF80-C522-4E41-9159-CC810C618C22}" name="Size Units (tons or BTU/hr)" dataDxfId="48"/>
    <tableColumn id="6" xr3:uid="{917BD970-00A4-4BA7-BE5C-D66A9418CAA1}" name="SEER/EER" dataDxfId="47"/>
    <tableColumn id="7" xr3:uid="{61CB2311-5067-4E73-97CF-4CC8E303C8C5}" name="Rebate ($/Ton)" dataDxfId="46">
      <calculatedColumnFormula>IF(ISNA(AL17),"Ineligible",IF(AL17=0," ","$"&amp;AL17&amp;"/Ton"))</calculatedColumnFormula>
    </tableColumn>
    <tableColumn id="8" xr3:uid="{62A1D638-D6B4-4181-8BF5-1196D140A8DC}" name="Total Rebate" dataDxfId="45">
      <calculatedColumnFormula>IF(H17=" "," ",IF(H17="Ineligible","Ineligible",AM17))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9FF42A81-6F31-4FA3-9258-D2B755E4422B}" name="Table5" displayName="Table5" ref="B26:I31" totalsRowShown="0" headerRowDxfId="44" headerRowBorderDxfId="43" tableBorderDxfId="42">
  <autoFilter ref="B26:I31" xr:uid="{9FF42A81-6F31-4FA3-9258-D2B755E4422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38A018F-0827-45E2-B206-70FAC9DE9298}" name="Item #" dataDxfId="41"/>
    <tableColumn id="2" xr3:uid="{EA5F7546-642E-4065-8390-6278B099AF4A}" name="Make &amp; Model" dataDxfId="40"/>
    <tableColumn id="3" xr3:uid="{8E187959-970F-4692-B029-89788142013F}" name="# of Units" dataDxfId="39"/>
    <tableColumn id="4" xr3:uid="{CF5EBA07-4DFC-40D7-A621-57EDDD5C9A6C}" name="Unit Size (tons or BTU/hr)" dataDxfId="38"/>
    <tableColumn id="5" xr3:uid="{177B6B86-24AA-4755-B6AA-71B545753640}" name="Size Units (tons or BTU/hr)" dataDxfId="37"/>
    <tableColumn id="6" xr3:uid="{E6D27D03-E26F-4DE9-9098-46BD16DC6C20}" name="EER" dataDxfId="36"/>
    <tableColumn id="7" xr3:uid="{D498BE9E-1228-4FDC-A871-0548F876FAE1}" name="Rebate ($/ton)" dataDxfId="35">
      <calculatedColumnFormula>IF(G27=0," ",IF(AE27&gt;24000,"Ineligible",IF(AH27="No","Ineligible",IF(AH27="Yes","$"&amp;AJ27&amp;"/Ton",0))))</calculatedColumnFormula>
    </tableColumn>
    <tableColumn id="8" xr3:uid="{BC1DEBB4-32A9-47D6-8DE1-265F55D2BD1B}" name="Total Rebate" dataDxfId="34">
      <calculatedColumnFormula>IF(H27="Ineligible", "Ineligible", IF(H27=" ", " ",AK27))</calculatedColumnFormula>
    </tableColumn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010F08-D0F3-4DA0-AC4B-FA1817CA4BB7}" name="Table1" displayName="Table1" ref="B16:I22" totalsRowShown="0" headerRowDxfId="33" headerRowBorderDxfId="32" tableBorderDxfId="31">
  <autoFilter ref="B16:I22" xr:uid="{E0010F08-D0F3-4DA0-AC4B-FA1817CA4B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0BC2B6A2-FBED-49ED-B398-F25A873DCAE6}" name="Item #" dataDxfId="30"/>
    <tableColumn id="2" xr3:uid="{F2012F27-105C-4C35-9352-380B755431D9}" name="Make &amp; Model" dataDxfId="29"/>
    <tableColumn id="3" xr3:uid="{6CD01ABC-85DD-42CB-940F-6629971DD18C}" name="# of Units" dataDxfId="28"/>
    <tableColumn id="4" xr3:uid="{453809EE-FEEB-4DFF-8F6D-06EA46721A2D}" name="Unit Size (tons or BTU/hr)" dataDxfId="27"/>
    <tableColumn id="5" xr3:uid="{48E3AD80-7C0B-449A-9B77-539E76193D77}" name="Size Units (tons or BTU/hr)" dataDxfId="26"/>
    <tableColumn id="6" xr3:uid="{1D24817D-CC2B-4570-8BA7-99E55ECCE434}" name="SEER" dataDxfId="25"/>
    <tableColumn id="7" xr3:uid="{C713DD42-06C2-451C-A6CF-BE9CFE4D5870}" name="Rebate ($/Ton)" dataDxfId="24"/>
    <tableColumn id="8" xr3:uid="{557DC8D6-3602-444F-95CE-E04C36C70264}" name="Total Rebate" dataDxfId="23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D80A579-7A3A-4D9F-B8EE-A94FF4311397}" name="Table2" displayName="Table2" ref="B26:J32" totalsRowShown="0" headerRowDxfId="22">
  <autoFilter ref="B26:J32" xr:uid="{ED80A579-7A3A-4D9F-B8EE-A94FF43113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BFAF6E30-FC6A-4801-8640-8BECE1C3BD20}" name="Item #" dataDxfId="21"/>
    <tableColumn id="2" xr3:uid="{87EE0B9D-B2BB-4AD1-8F9F-645E42CC9EE1}" name="Make &amp; Model" dataDxfId="20"/>
    <tableColumn id="3" xr3:uid="{B9196958-0806-4095-A813-88357F44BF92}" name="# of Units" dataDxfId="19"/>
    <tableColumn id="4" xr3:uid="{29DD42C5-37B2-4391-88EA-104672FE7A36}" name="Unit Size (tons or BTU/hr)" dataDxfId="18"/>
    <tableColumn id="5" xr3:uid="{DA70512F-EA6D-4889-861E-553D86F41413}" name="Size Units (tons or BTU/hr)" dataDxfId="17"/>
    <tableColumn id="6" xr3:uid="{13E795C8-F506-4854-B9CC-00475E2AC30F}" name="EER" dataDxfId="16"/>
    <tableColumn id="10" xr3:uid="{BEE4FF54-1A4A-48E6-AC1C-8580FF8562EB}" name="COP" dataDxfId="15"/>
    <tableColumn id="7" xr3:uid="{B6EEA760-5E38-4267-9B3C-704DD771D708}" name="Rebate  ($/Ton)" dataDxfId="0">
      <calculatedColumnFormula>IF(AN27=0," ", IF(AN27="Use above table", "Use above table", IF(AN27="Ineligible","Ineligible","$"&amp;AN27&amp;"/Ton")))</calculatedColumnFormula>
    </tableColumn>
    <tableColumn id="8" xr3:uid="{5A4DE16F-CF5A-4773-8CC1-0A725323D34C}" name="Total Rebate" dataDxfId="14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2EDD037-511F-43A5-9338-BF791D95092E}" name="Table3" displayName="Table3" ref="B36:J42" totalsRowShown="0" headerRowDxfId="13" dataDxfId="11" headerRowBorderDxfId="12" tableBorderDxfId="10">
  <autoFilter ref="B36:J42" xr:uid="{52EDD037-511F-43A5-9338-BF791D9509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562FE98F-3DD0-43BF-B979-38D5EB81E45A}" name="Item #" dataDxfId="9"/>
    <tableColumn id="2" xr3:uid="{E6530EF2-D039-4009-B7A5-B570122F3FC3}" name="Make &amp; Model" dataDxfId="8"/>
    <tableColumn id="3" xr3:uid="{194777BB-2ACE-41E4-A7F9-B706CCD26E98}" name="# of Units" dataDxfId="7"/>
    <tableColumn id="4" xr3:uid="{E1355493-AE96-443E-BA58-7A69D38EDF51}" name="Unit Size (tons or BTU/hr)" dataDxfId="6"/>
    <tableColumn id="5" xr3:uid="{6B6316BD-E455-4510-94FD-7DF8F314F84B}" name="Size Units (tons or BTU/hr)" dataDxfId="5"/>
    <tableColumn id="6" xr3:uid="{E064967A-ABAD-497A-82F2-DE541DBE975A}" name="EER" dataDxfId="4"/>
    <tableColumn id="9" xr3:uid="{3CE09353-3EFD-4521-9961-09932920590D}" name="COP" dataDxfId="3"/>
    <tableColumn id="7" xr3:uid="{DFF7BC94-EF07-4318-A0D6-163A24DF7697}" name="Rebate ($/ton)" dataDxfId="2">
      <calculatedColumnFormula>IF(AN37=0," ",IF(AN37="Ineligible","Ineligible", "$"&amp;AN37&amp;"/Ton"))</calculatedColumnFormula>
    </tableColumn>
    <tableColumn id="8" xr3:uid="{FA41416D-B909-4D36-80B3-27B51C794F6D}" name="Total Rebate" dataDxfId="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C0BEB-EE97-4A7D-A4F7-EC85A7D5741A}">
  <dimension ref="A1:AU51"/>
  <sheetViews>
    <sheetView showGridLines="0" showRowColHeaders="0" tabSelected="1" workbookViewId="0">
      <selection activeCell="B17" sqref="B17"/>
    </sheetView>
  </sheetViews>
  <sheetFormatPr defaultRowHeight="15" x14ac:dyDescent="0.25"/>
  <cols>
    <col min="1" max="1" width="1.5703125" customWidth="1"/>
    <col min="2" max="2" width="9.28515625" customWidth="1"/>
    <col min="3" max="3" width="36.7109375" customWidth="1"/>
    <col min="4" max="4" width="9.7109375" customWidth="1"/>
    <col min="5" max="5" width="19.85546875" customWidth="1"/>
    <col min="6" max="6" width="19.42578125" customWidth="1"/>
    <col min="7" max="7" width="11.5703125" customWidth="1"/>
    <col min="8" max="8" width="13" customWidth="1"/>
    <col min="9" max="9" width="13.5703125" customWidth="1"/>
    <col min="14" max="14" width="85.28515625" customWidth="1"/>
    <col min="27" max="30" width="9.140625" customWidth="1"/>
    <col min="31" max="31" width="21.85546875" customWidth="1"/>
    <col min="32" max="32" width="11.5703125" customWidth="1"/>
    <col min="33" max="34" width="14.7109375" customWidth="1"/>
    <col min="35" max="35" width="12.42578125" customWidth="1"/>
    <col min="36" max="38" width="23.7109375" customWidth="1"/>
    <col min="39" max="39" width="12.42578125" customWidth="1"/>
    <col min="40" max="42" width="9.140625" customWidth="1"/>
    <col min="43" max="43" width="11.85546875" customWidth="1"/>
    <col min="44" max="49" width="9.140625" customWidth="1"/>
    <col min="50" max="50" width="12.140625" customWidth="1"/>
  </cols>
  <sheetData>
    <row r="1" spans="1:47" ht="27" thickBot="1" x14ac:dyDescent="0.45">
      <c r="A1" s="35"/>
      <c r="B1" s="13" t="s">
        <v>0</v>
      </c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47" x14ac:dyDescent="0.25">
      <c r="A2" s="36"/>
      <c r="B2" s="29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"/>
    </row>
    <row r="3" spans="1:47" ht="15.75" x14ac:dyDescent="0.25">
      <c r="A3" s="36"/>
      <c r="B3" s="30" t="s">
        <v>1</v>
      </c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  <c r="N3" s="1"/>
    </row>
    <row r="4" spans="1:47" x14ac:dyDescent="0.25">
      <c r="A4" s="36"/>
      <c r="B4" s="31" t="s">
        <v>2</v>
      </c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"/>
    </row>
    <row r="5" spans="1:47" x14ac:dyDescent="0.25">
      <c r="A5" s="36"/>
      <c r="B5" s="31" t="s">
        <v>3</v>
      </c>
      <c r="C5" s="17"/>
      <c r="D5" s="17"/>
      <c r="E5" s="17"/>
      <c r="F5" s="17"/>
      <c r="G5" s="17"/>
      <c r="H5" s="17"/>
      <c r="I5" s="17"/>
      <c r="J5" s="18"/>
      <c r="K5" s="18"/>
      <c r="L5" s="18"/>
      <c r="M5" s="18"/>
      <c r="N5" s="1"/>
    </row>
    <row r="6" spans="1:47" x14ac:dyDescent="0.25">
      <c r="A6" s="36"/>
      <c r="B6" s="32" t="s">
        <v>4</v>
      </c>
      <c r="C6" s="17"/>
      <c r="D6" s="17"/>
      <c r="E6" s="17"/>
      <c r="F6" s="17"/>
      <c r="G6" s="17"/>
      <c r="H6" s="17"/>
      <c r="I6" s="17"/>
      <c r="J6" s="18"/>
      <c r="K6" s="18"/>
      <c r="L6" s="18"/>
      <c r="M6" s="18"/>
      <c r="N6" s="1"/>
    </row>
    <row r="7" spans="1:47" x14ac:dyDescent="0.25">
      <c r="A7" s="36"/>
      <c r="B7" s="32" t="s">
        <v>5</v>
      </c>
      <c r="C7" s="17"/>
      <c r="D7" s="17"/>
      <c r="E7" s="17"/>
      <c r="F7" s="17"/>
      <c r="G7" s="17"/>
      <c r="H7" s="17"/>
      <c r="I7" s="17"/>
      <c r="J7" s="18"/>
      <c r="K7" s="18"/>
      <c r="L7" s="18"/>
      <c r="M7" s="18"/>
      <c r="N7" s="1"/>
    </row>
    <row r="8" spans="1:47" x14ac:dyDescent="0.25">
      <c r="A8" s="36"/>
      <c r="B8" s="32" t="s">
        <v>6</v>
      </c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"/>
    </row>
    <row r="9" spans="1:47" x14ac:dyDescent="0.25">
      <c r="A9" s="36"/>
      <c r="B9" s="33" t="s">
        <v>69</v>
      </c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"/>
    </row>
    <row r="10" spans="1:47" x14ac:dyDescent="0.25">
      <c r="A10" s="36"/>
      <c r="B10" s="34" t="s">
        <v>7</v>
      </c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"/>
    </row>
    <row r="11" spans="1:47" x14ac:dyDescent="0.25">
      <c r="A11" s="36"/>
      <c r="B11" s="34" t="s">
        <v>8</v>
      </c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"/>
    </row>
    <row r="12" spans="1:47" ht="15.75" thickBot="1" x14ac:dyDescent="0.3">
      <c r="A12" s="36"/>
      <c r="B12" s="29"/>
      <c r="C12" s="17"/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"/>
    </row>
    <row r="13" spans="1:47" ht="16.5" thickBot="1" x14ac:dyDescent="0.3">
      <c r="A13" s="36"/>
      <c r="B13" s="7" t="s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47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1:47" x14ac:dyDescent="0.25">
      <c r="A15" s="36"/>
      <c r="B15" s="43" t="s">
        <v>10</v>
      </c>
      <c r="C15" s="44"/>
      <c r="D15" s="44"/>
      <c r="E15" s="44"/>
      <c r="F15" s="44"/>
      <c r="G15" s="44"/>
      <c r="H15" s="44"/>
      <c r="I15" s="55"/>
      <c r="J15" s="37"/>
      <c r="K15" s="37"/>
      <c r="L15" s="37"/>
      <c r="M15" s="37"/>
      <c r="N15" s="38"/>
      <c r="AE15" t="s">
        <v>15</v>
      </c>
    </row>
    <row r="16" spans="1:47" ht="30" customHeight="1" x14ac:dyDescent="0.25">
      <c r="A16" s="36"/>
      <c r="B16" s="58" t="s">
        <v>11</v>
      </c>
      <c r="C16" s="60" t="s">
        <v>12</v>
      </c>
      <c r="D16" s="56" t="s">
        <v>13</v>
      </c>
      <c r="E16" s="56" t="s">
        <v>70</v>
      </c>
      <c r="F16" s="56" t="s">
        <v>71</v>
      </c>
      <c r="G16" s="56" t="s">
        <v>20</v>
      </c>
      <c r="H16" s="56" t="s">
        <v>102</v>
      </c>
      <c r="I16" s="56" t="s">
        <v>14</v>
      </c>
      <c r="J16" s="37"/>
      <c r="K16" s="37"/>
      <c r="L16" s="37"/>
      <c r="M16" s="37"/>
      <c r="N16" s="38"/>
      <c r="AE16" t="s">
        <v>16</v>
      </c>
      <c r="AF16" t="s">
        <v>66</v>
      </c>
      <c r="AG16" t="s">
        <v>17</v>
      </c>
      <c r="AH16" t="s">
        <v>48</v>
      </c>
      <c r="AI16" t="s">
        <v>18</v>
      </c>
      <c r="AJ16" t="s">
        <v>54</v>
      </c>
      <c r="AK16" t="s">
        <v>55</v>
      </c>
      <c r="AL16" t="s">
        <v>19</v>
      </c>
      <c r="AM16" t="s">
        <v>14</v>
      </c>
      <c r="AT16" t="s">
        <v>42</v>
      </c>
      <c r="AU16" t="s">
        <v>56</v>
      </c>
    </row>
    <row r="17" spans="1:47" ht="24.95" customHeight="1" x14ac:dyDescent="0.25">
      <c r="A17" s="36"/>
      <c r="B17" s="59"/>
      <c r="C17" s="61"/>
      <c r="D17" s="61"/>
      <c r="E17" s="63"/>
      <c r="F17" s="61"/>
      <c r="G17" s="61"/>
      <c r="H17" s="57" t="str">
        <f t="shared" ref="H17:H21" ca="1" si="0">IF(ISNA(AL17),"Ineligible",IF(AL17=0," ","$"&amp;AL17&amp;"/Ton"))</f>
        <v xml:space="preserve"> </v>
      </c>
      <c r="I17" s="57" t="str">
        <f t="shared" ref="I17:I21" ca="1" si="1">IF(H17=" "," ",IF(H17="Ineligible","Ineligible",AM17))</f>
        <v xml:space="preserve"> </v>
      </c>
      <c r="J17" s="37"/>
      <c r="K17" s="37"/>
      <c r="L17" s="37"/>
      <c r="M17" s="37"/>
      <c r="N17" s="38"/>
      <c r="AE17">
        <f>IF(F17="BTU/hr",E17,IF(F17="tons", E17*12000,0))</f>
        <v>0</v>
      </c>
      <c r="AF17">
        <f>D17</f>
        <v>0</v>
      </c>
      <c r="AG17" t="str">
        <f>IF(AE17&lt;65000, "One", IF(AND(AE17&gt;=65000, AE17&lt;135000),"Two", IF(AND(AE17&gt;=135000, AE17&lt;240000),"Three",IF(AND(AE17&gt;=240000,AE17&lt;760000),"Four","Five"))))</f>
        <v>One</v>
      </c>
      <c r="AH17">
        <f>G17</f>
        <v>0</v>
      </c>
      <c r="AI17" t="str">
        <f>IF(AG17="One", "SEER", "EER")</f>
        <v>SEER</v>
      </c>
      <c r="AJ17" t="str">
        <f>AG17&amp;"_"&amp;AI17</f>
        <v>One_SEER</v>
      </c>
      <c r="AK17" t="str">
        <f>AJ17&amp;"_Rebate"</f>
        <v>One_SEER_Rebate</v>
      </c>
      <c r="AL17" cm="1">
        <f t="array" aca="1" ref="AL17" ca="1">IF(AH17=0,0,INDEX(INDIRECT(AK17),AR17,2))</f>
        <v>0</v>
      </c>
      <c r="AM17">
        <f ca="1">AF17*AL17*(AE17/12000)</f>
        <v>0</v>
      </c>
      <c r="AQ17" t="s">
        <v>49</v>
      </c>
      <c r="AR17" t="e">
        <f ca="1">MATCH(AH17,INDIRECT(AJ17),1)</f>
        <v>#N/A</v>
      </c>
      <c r="AT17">
        <v>15</v>
      </c>
      <c r="AU17" s="6">
        <f>D38</f>
        <v>50</v>
      </c>
    </row>
    <row r="18" spans="1:47" ht="24.95" customHeight="1" x14ac:dyDescent="0.25">
      <c r="A18" s="36"/>
      <c r="B18" s="59"/>
      <c r="C18" s="61"/>
      <c r="D18" s="61"/>
      <c r="E18" s="63"/>
      <c r="F18" s="61"/>
      <c r="G18" s="61"/>
      <c r="H18" s="57" t="str">
        <f t="shared" ca="1" si="0"/>
        <v xml:space="preserve"> </v>
      </c>
      <c r="I18" s="57" t="str">
        <f t="shared" ca="1" si="1"/>
        <v xml:space="preserve"> </v>
      </c>
      <c r="J18" s="37"/>
      <c r="K18" s="37"/>
      <c r="L18" s="37"/>
      <c r="M18" s="37"/>
      <c r="N18" s="38"/>
      <c r="AE18">
        <f t="shared" ref="AE18:AE21" si="2">IF(F18="BTU/hr",E18,IF(F18="tons", E18*12000,0))</f>
        <v>0</v>
      </c>
      <c r="AF18">
        <f t="shared" ref="AF18:AF21" si="3">D18</f>
        <v>0</v>
      </c>
      <c r="AG18" t="str">
        <f t="shared" ref="AG18:AG21" si="4">IF(AE18&lt;65000, "One", IF(AND(AE18&gt;=65000, AE18&lt;135000),"Two", IF(AND(AE18&gt;=135000, AE18&lt;240000),"Three",IF(AND(AE18&gt;=240000,AE18&lt;760000),"Four","Five"))))</f>
        <v>One</v>
      </c>
      <c r="AH18">
        <f t="shared" ref="AH18:AH21" si="5">G18</f>
        <v>0</v>
      </c>
      <c r="AI18" t="str">
        <f t="shared" ref="AI18:AI21" si="6">IF(AG18="One", "SEER", "EER")</f>
        <v>SEER</v>
      </c>
      <c r="AJ18" t="str">
        <f t="shared" ref="AJ18:AJ21" si="7">AG18&amp;"_"&amp;AI18</f>
        <v>One_SEER</v>
      </c>
      <c r="AK18" t="str">
        <f t="shared" ref="AK18:AK21" si="8">AJ18&amp;"_Rebate"</f>
        <v>One_SEER_Rebate</v>
      </c>
      <c r="AL18" cm="1">
        <f t="array" aca="1" ref="AL18" ca="1">IF(AH18=0,0,INDEX(INDIRECT(AK18),AR18,2))</f>
        <v>0</v>
      </c>
      <c r="AM18">
        <f ca="1">AF18*AL18*(AE18/12000)</f>
        <v>0</v>
      </c>
      <c r="AQ18" t="s">
        <v>50</v>
      </c>
      <c r="AR18" t="e">
        <f t="shared" ref="AR18:AR21" ca="1" si="9">MATCH(AH18,INDIRECT(AJ18),1)</f>
        <v>#N/A</v>
      </c>
      <c r="AT18">
        <v>16</v>
      </c>
      <c r="AU18" s="6">
        <f>E38</f>
        <v>100</v>
      </c>
    </row>
    <row r="19" spans="1:47" ht="24.95" customHeight="1" x14ac:dyDescent="0.25">
      <c r="A19" s="36"/>
      <c r="B19" s="59"/>
      <c r="C19" s="61"/>
      <c r="D19" s="61"/>
      <c r="E19" s="63"/>
      <c r="F19" s="61"/>
      <c r="G19" s="61"/>
      <c r="H19" s="57" t="str">
        <f t="shared" ca="1" si="0"/>
        <v xml:space="preserve"> </v>
      </c>
      <c r="I19" s="57" t="str">
        <f t="shared" ca="1" si="1"/>
        <v xml:space="preserve"> </v>
      </c>
      <c r="J19" s="37"/>
      <c r="K19" s="37"/>
      <c r="L19" s="37"/>
      <c r="M19" s="37"/>
      <c r="N19" s="38"/>
      <c r="AE19">
        <f t="shared" si="2"/>
        <v>0</v>
      </c>
      <c r="AF19">
        <f t="shared" si="3"/>
        <v>0</v>
      </c>
      <c r="AG19" t="str">
        <f t="shared" si="4"/>
        <v>One</v>
      </c>
      <c r="AH19">
        <f t="shared" si="5"/>
        <v>0</v>
      </c>
      <c r="AI19" t="str">
        <f t="shared" si="6"/>
        <v>SEER</v>
      </c>
      <c r="AJ19" t="str">
        <f t="shared" si="7"/>
        <v>One_SEER</v>
      </c>
      <c r="AK19" t="str">
        <f t="shared" si="8"/>
        <v>One_SEER_Rebate</v>
      </c>
      <c r="AL19" cm="1">
        <f t="array" aca="1" ref="AL19" ca="1">IF(AH19=0,0,INDEX(INDIRECT(AK19),AR19,2))</f>
        <v>0</v>
      </c>
      <c r="AM19">
        <f ca="1">AF19*AL19*(AE19/12000)</f>
        <v>0</v>
      </c>
      <c r="AQ19" t="s">
        <v>51</v>
      </c>
      <c r="AR19" t="e">
        <f t="shared" ca="1" si="9"/>
        <v>#N/A</v>
      </c>
      <c r="AT19">
        <v>17</v>
      </c>
      <c r="AU19" s="6">
        <f>F38</f>
        <v>150</v>
      </c>
    </row>
    <row r="20" spans="1:47" ht="24.95" customHeight="1" x14ac:dyDescent="0.25">
      <c r="A20" s="36"/>
      <c r="B20" s="59"/>
      <c r="C20" s="61"/>
      <c r="D20" s="61"/>
      <c r="E20" s="63"/>
      <c r="F20" s="61"/>
      <c r="G20" s="61"/>
      <c r="H20" s="57" t="str">
        <f t="shared" ca="1" si="0"/>
        <v xml:space="preserve"> </v>
      </c>
      <c r="I20" s="57" t="str">
        <f t="shared" ca="1" si="1"/>
        <v xml:space="preserve"> </v>
      </c>
      <c r="J20" s="37"/>
      <c r="K20" s="37"/>
      <c r="L20" s="37"/>
      <c r="M20" s="37"/>
      <c r="N20" s="38"/>
      <c r="AE20">
        <f t="shared" si="2"/>
        <v>0</v>
      </c>
      <c r="AF20">
        <f t="shared" si="3"/>
        <v>0</v>
      </c>
      <c r="AG20" t="str">
        <f t="shared" si="4"/>
        <v>One</v>
      </c>
      <c r="AH20">
        <f t="shared" si="5"/>
        <v>0</v>
      </c>
      <c r="AI20" t="str">
        <f t="shared" si="6"/>
        <v>SEER</v>
      </c>
      <c r="AJ20" t="str">
        <f t="shared" si="7"/>
        <v>One_SEER</v>
      </c>
      <c r="AK20" t="str">
        <f t="shared" si="8"/>
        <v>One_SEER_Rebate</v>
      </c>
      <c r="AL20" cm="1">
        <f t="array" aca="1" ref="AL20" ca="1">IF(AH20=0,0,INDEX(INDIRECT(AK20),AR20,2))</f>
        <v>0</v>
      </c>
      <c r="AM20">
        <f ca="1">AF20*AL20*(AE20/12000)</f>
        <v>0</v>
      </c>
      <c r="AQ20" t="s">
        <v>52</v>
      </c>
      <c r="AR20" t="e">
        <f t="shared" ca="1" si="9"/>
        <v>#N/A</v>
      </c>
      <c r="AT20">
        <v>18</v>
      </c>
      <c r="AU20" s="6">
        <f>G38</f>
        <v>160</v>
      </c>
    </row>
    <row r="21" spans="1:47" ht="24.95" customHeight="1" thickBot="1" x14ac:dyDescent="0.3">
      <c r="A21" s="36"/>
      <c r="B21" s="66"/>
      <c r="C21" s="67"/>
      <c r="D21" s="67"/>
      <c r="E21" s="76"/>
      <c r="F21" s="67"/>
      <c r="G21" s="67"/>
      <c r="H21" s="69" t="str">
        <f t="shared" ca="1" si="0"/>
        <v xml:space="preserve"> </v>
      </c>
      <c r="I21" s="69" t="str">
        <f t="shared" ca="1" si="1"/>
        <v xml:space="preserve"> </v>
      </c>
      <c r="J21" s="37"/>
      <c r="K21" s="37"/>
      <c r="L21" s="37"/>
      <c r="M21" s="37"/>
      <c r="N21" s="38"/>
      <c r="AE21">
        <f t="shared" si="2"/>
        <v>0</v>
      </c>
      <c r="AF21">
        <f t="shared" si="3"/>
        <v>0</v>
      </c>
      <c r="AG21" t="str">
        <f t="shared" si="4"/>
        <v>One</v>
      </c>
      <c r="AH21">
        <f t="shared" si="5"/>
        <v>0</v>
      </c>
      <c r="AI21" t="str">
        <f t="shared" si="6"/>
        <v>SEER</v>
      </c>
      <c r="AJ21" t="str">
        <f t="shared" si="7"/>
        <v>One_SEER</v>
      </c>
      <c r="AK21" t="str">
        <f t="shared" si="8"/>
        <v>One_SEER_Rebate</v>
      </c>
      <c r="AL21" cm="1">
        <f t="array" aca="1" ref="AL21" ca="1">IF(AH21=0,0,INDEX(INDIRECT(AK21),AR21,2))</f>
        <v>0</v>
      </c>
      <c r="AM21">
        <f ca="1">AF21*AL21*(AE21/12000)</f>
        <v>0</v>
      </c>
      <c r="AQ21" t="s">
        <v>53</v>
      </c>
      <c r="AR21" t="e">
        <f t="shared" ca="1" si="9"/>
        <v>#N/A</v>
      </c>
    </row>
    <row r="22" spans="1:47" ht="15.75" thickTop="1" x14ac:dyDescent="0.25">
      <c r="A22" s="36"/>
      <c r="B22" s="19"/>
      <c r="C22" s="62"/>
      <c r="D22" s="62"/>
      <c r="E22" s="62"/>
      <c r="F22" s="62"/>
      <c r="G22" s="62"/>
      <c r="H22" s="65"/>
      <c r="I22" s="75" t="str">
        <f ca="1">IF(SUM(I17:I21)=0," ",SUM(I17:I21))</f>
        <v xml:space="preserve"> </v>
      </c>
      <c r="J22" s="37"/>
      <c r="K22" s="37"/>
      <c r="L22" s="37"/>
      <c r="M22" s="37"/>
      <c r="N22" s="38"/>
    </row>
    <row r="23" spans="1:47" x14ac:dyDescent="0.25">
      <c r="A23" s="36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8"/>
    </row>
    <row r="24" spans="1:47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  <c r="AT24" t="s">
        <v>44</v>
      </c>
      <c r="AU24" t="s">
        <v>57</v>
      </c>
    </row>
    <row r="25" spans="1:47" x14ac:dyDescent="0.25">
      <c r="A25" s="36"/>
      <c r="B25" s="43" t="s">
        <v>35</v>
      </c>
      <c r="C25" s="44"/>
      <c r="D25" s="44"/>
      <c r="E25" s="44"/>
      <c r="F25" s="44"/>
      <c r="G25" s="44"/>
      <c r="H25" s="44"/>
      <c r="I25" s="55"/>
      <c r="J25" s="37"/>
      <c r="K25" s="37"/>
      <c r="L25" s="37"/>
      <c r="M25" s="37"/>
      <c r="N25" s="38"/>
      <c r="AE25" t="s">
        <v>35</v>
      </c>
      <c r="AT25">
        <v>12.5</v>
      </c>
      <c r="AU25" s="6">
        <f>D40</f>
        <v>50</v>
      </c>
    </row>
    <row r="26" spans="1:47" ht="30" customHeight="1" x14ac:dyDescent="0.25">
      <c r="A26" s="36"/>
      <c r="B26" s="56" t="s">
        <v>11</v>
      </c>
      <c r="C26" s="60" t="s">
        <v>12</v>
      </c>
      <c r="D26" s="56" t="s">
        <v>13</v>
      </c>
      <c r="E26" s="56" t="s">
        <v>70</v>
      </c>
      <c r="F26" s="56" t="s">
        <v>71</v>
      </c>
      <c r="G26" s="56" t="s">
        <v>63</v>
      </c>
      <c r="H26" s="56" t="s">
        <v>64</v>
      </c>
      <c r="I26" s="52" t="s">
        <v>14</v>
      </c>
      <c r="J26" s="37"/>
      <c r="K26" s="37"/>
      <c r="L26" s="37"/>
      <c r="M26" s="37"/>
      <c r="N26" s="38"/>
      <c r="AE26" t="s">
        <v>16</v>
      </c>
      <c r="AF26" t="s">
        <v>66</v>
      </c>
      <c r="AG26" t="s">
        <v>17</v>
      </c>
      <c r="AH26" t="s">
        <v>61</v>
      </c>
      <c r="AI26" t="s">
        <v>98</v>
      </c>
      <c r="AJ26" t="s">
        <v>19</v>
      </c>
      <c r="AK26" t="s">
        <v>14</v>
      </c>
      <c r="AM26" t="s">
        <v>17</v>
      </c>
      <c r="AN26" t="s">
        <v>62</v>
      </c>
      <c r="AT26">
        <v>13</v>
      </c>
      <c r="AU26" s="6">
        <f>F40</f>
        <v>60</v>
      </c>
    </row>
    <row r="27" spans="1:47" ht="24.95" customHeight="1" x14ac:dyDescent="0.25">
      <c r="A27" s="36"/>
      <c r="B27" s="61"/>
      <c r="C27" s="61"/>
      <c r="D27" s="61"/>
      <c r="E27" s="63"/>
      <c r="F27" s="61"/>
      <c r="G27" s="61"/>
      <c r="H27" s="57" t="str">
        <f t="shared" ref="H27:H31" si="10">IF(G27=0," ",IF(AE27&gt;24000,"Ineligible",IF(AH27="No","Ineligible",IF(AH27="Yes","$"&amp;AJ27&amp;"/Ton",0))))</f>
        <v xml:space="preserve"> </v>
      </c>
      <c r="I27" s="53" t="str">
        <f>IF(H27="Ineligible", "Ineligible", IF(H27=" ", " ",AK27))</f>
        <v xml:space="preserve"> </v>
      </c>
      <c r="J27" s="37"/>
      <c r="K27" s="37"/>
      <c r="L27" s="37"/>
      <c r="M27" s="37"/>
      <c r="N27" s="38"/>
      <c r="AE27">
        <f>IF(F27="BTU/hr",E27,IF(F27="tons", E27*12000,0))</f>
        <v>0</v>
      </c>
      <c r="AF27">
        <f>D27</f>
        <v>0</v>
      </c>
      <c r="AG27" cm="1">
        <f t="array" ref="AG27">IF(AE27&lt;7000,1,IF(AND(AE27&gt;=7000,AE27&lt;=15000),2,IF(AND(AE27&gt;15000,AE27&lt;=24000),3,NA)))</f>
        <v>1</v>
      </c>
      <c r="AH27" t="str">
        <f t="shared" ref="AH27:AH32" si="11">IF(G27&gt;=VLOOKUP(AG27,$AM$27:$AN$29,2,0),"Yes","No")</f>
        <v>No</v>
      </c>
      <c r="AI27">
        <f>G27</f>
        <v>0</v>
      </c>
      <c r="AJ27">
        <f>IF(AI27=0,0,IF(AH27="Yes",100))</f>
        <v>0</v>
      </c>
      <c r="AK27">
        <f t="shared" ref="AK27:AK32" si="12">AJ27*AF27*(AE27/12000)</f>
        <v>0</v>
      </c>
      <c r="AM27">
        <v>1</v>
      </c>
      <c r="AN27">
        <v>11.29</v>
      </c>
    </row>
    <row r="28" spans="1:47" ht="24.95" customHeight="1" x14ac:dyDescent="0.25">
      <c r="A28" s="36"/>
      <c r="B28" s="61"/>
      <c r="C28" s="61"/>
      <c r="D28" s="61"/>
      <c r="E28" s="63"/>
      <c r="F28" s="61"/>
      <c r="G28" s="61"/>
      <c r="H28" s="57" t="str">
        <f t="shared" si="10"/>
        <v xml:space="preserve"> </v>
      </c>
      <c r="I28" s="53" t="str">
        <f>IF(H28="Ineligible", "Ineligible", IF(H28=" ", " ",AK28))</f>
        <v xml:space="preserve"> </v>
      </c>
      <c r="J28" s="37"/>
      <c r="K28" s="37"/>
      <c r="L28" s="37"/>
      <c r="M28" s="37"/>
      <c r="N28" s="38"/>
      <c r="AE28">
        <f t="shared" ref="AE28:AE32" si="13">IF(F28="BTU/hr",E28,IF(F28="tons", E28*12000,0))</f>
        <v>0</v>
      </c>
      <c r="AF28">
        <f t="shared" ref="AF28:AF32" si="14">D28</f>
        <v>0</v>
      </c>
      <c r="AG28" cm="1">
        <f t="array" ref="AG28">IF(AE28&lt;7000,1,IF(AND(AE28&gt;=7000,AE28&lt;=15000),2,IF(AND(AE28&gt;15000,AE28&lt;=24000),3,NA)))</f>
        <v>1</v>
      </c>
      <c r="AH28" t="str">
        <f t="shared" si="11"/>
        <v>No</v>
      </c>
      <c r="AI28">
        <f t="shared" ref="AI28:AI32" si="15">G28</f>
        <v>0</v>
      </c>
      <c r="AJ28">
        <f t="shared" ref="AJ28:AJ32" si="16">IF(AI28=0,0,IF(AH28="Yes",100))</f>
        <v>0</v>
      </c>
      <c r="AK28">
        <f t="shared" si="12"/>
        <v>0</v>
      </c>
      <c r="AM28">
        <v>2</v>
      </c>
      <c r="AN28">
        <v>10.27</v>
      </c>
      <c r="AT28" t="s">
        <v>45</v>
      </c>
      <c r="AU28" t="s">
        <v>58</v>
      </c>
    </row>
    <row r="29" spans="1:47" ht="24.95" customHeight="1" x14ac:dyDescent="0.25">
      <c r="A29" s="36"/>
      <c r="B29" s="61"/>
      <c r="C29" s="61"/>
      <c r="D29" s="61"/>
      <c r="E29" s="63"/>
      <c r="F29" s="61"/>
      <c r="G29" s="61"/>
      <c r="H29" s="57" t="str">
        <f t="shared" si="10"/>
        <v xml:space="preserve"> </v>
      </c>
      <c r="I29" s="53" t="str">
        <f>IF(H29="Ineligible", "Ineligible", IF(H29=" ", " ",AK29))</f>
        <v xml:space="preserve"> </v>
      </c>
      <c r="J29" s="37"/>
      <c r="K29" s="37"/>
      <c r="L29" s="37"/>
      <c r="M29" s="37"/>
      <c r="N29" s="38"/>
      <c r="AE29">
        <f t="shared" si="13"/>
        <v>0</v>
      </c>
      <c r="AF29">
        <f t="shared" si="14"/>
        <v>0</v>
      </c>
      <c r="AG29" cm="1">
        <f t="array" ref="AG29">IF(AE29&lt;7000,1,IF(AND(AE29&gt;=7000,AE29&lt;=15000),2,IF(AND(AE29&gt;15000,AE29&lt;=24000),3,NA)))</f>
        <v>1</v>
      </c>
      <c r="AH29" t="str">
        <f t="shared" si="11"/>
        <v>No</v>
      </c>
      <c r="AI29">
        <f t="shared" si="15"/>
        <v>0</v>
      </c>
      <c r="AJ29">
        <f t="shared" si="16"/>
        <v>0</v>
      </c>
      <c r="AK29">
        <f t="shared" si="12"/>
        <v>0</v>
      </c>
      <c r="AM29">
        <v>3</v>
      </c>
      <c r="AN29">
        <v>9.25</v>
      </c>
      <c r="AT29">
        <v>12</v>
      </c>
      <c r="AU29" s="6">
        <f>D42</f>
        <v>50</v>
      </c>
    </row>
    <row r="30" spans="1:47" ht="24.95" customHeight="1" x14ac:dyDescent="0.25">
      <c r="A30" s="36"/>
      <c r="B30" s="61"/>
      <c r="C30" s="61"/>
      <c r="D30" s="61"/>
      <c r="E30" s="63"/>
      <c r="F30" s="61"/>
      <c r="G30" s="61"/>
      <c r="H30" s="57" t="str">
        <f t="shared" si="10"/>
        <v xml:space="preserve"> </v>
      </c>
      <c r="I30" s="53" t="str">
        <f>IF(H30="Ineligible", "Ineligible", IF(H30=" ", " ",AK30))</f>
        <v xml:space="preserve"> </v>
      </c>
      <c r="J30" s="37"/>
      <c r="K30" s="37"/>
      <c r="L30" s="37"/>
      <c r="M30" s="37"/>
      <c r="N30" s="38"/>
      <c r="AE30">
        <f t="shared" si="13"/>
        <v>0</v>
      </c>
      <c r="AF30">
        <f t="shared" si="14"/>
        <v>0</v>
      </c>
      <c r="AG30" cm="1">
        <f t="array" ref="AG30">IF(AE30&lt;7000,1,IF(AND(AE30&gt;=7000,AE30&lt;=15000),2,IF(AND(AE30&gt;15000,AE30&lt;=24000),3,NA)))</f>
        <v>1</v>
      </c>
      <c r="AH30" t="str">
        <f t="shared" si="11"/>
        <v>No</v>
      </c>
      <c r="AI30">
        <f t="shared" si="15"/>
        <v>0</v>
      </c>
      <c r="AJ30">
        <f t="shared" si="16"/>
        <v>0</v>
      </c>
      <c r="AK30">
        <f t="shared" si="12"/>
        <v>0</v>
      </c>
    </row>
    <row r="31" spans="1:47" ht="24.95" customHeight="1" x14ac:dyDescent="0.25">
      <c r="A31" s="36"/>
      <c r="B31" s="61"/>
      <c r="C31" s="61"/>
      <c r="D31" s="61"/>
      <c r="E31" s="63"/>
      <c r="F31" s="61"/>
      <c r="G31" s="61"/>
      <c r="H31" s="57" t="str">
        <f t="shared" si="10"/>
        <v xml:space="preserve"> </v>
      </c>
      <c r="I31" s="53" t="str">
        <f>IF(H31="Ineligible", "Ineligible", IF(H31=" ", " ",AK31))</f>
        <v xml:space="preserve"> </v>
      </c>
      <c r="J31" s="37"/>
      <c r="K31" s="37"/>
      <c r="L31" s="37"/>
      <c r="M31" s="37"/>
      <c r="N31" s="38"/>
      <c r="AE31">
        <f t="shared" si="13"/>
        <v>0</v>
      </c>
      <c r="AF31">
        <f t="shared" si="14"/>
        <v>0</v>
      </c>
      <c r="AG31" cm="1">
        <f t="array" ref="AG31">IF(AE31&lt;7000,1,IF(AND(AE31&gt;=7000,AE31&lt;=15000),2,IF(AND(AE31&gt;15000,AE31&lt;=24000),3,NA)))</f>
        <v>1</v>
      </c>
      <c r="AH31" t="str">
        <f t="shared" si="11"/>
        <v>No</v>
      </c>
      <c r="AI31">
        <f t="shared" si="15"/>
        <v>0</v>
      </c>
      <c r="AJ31">
        <f t="shared" si="16"/>
        <v>0</v>
      </c>
      <c r="AK31">
        <f t="shared" si="12"/>
        <v>0</v>
      </c>
      <c r="AT31" t="s">
        <v>46</v>
      </c>
      <c r="AU31" t="s">
        <v>59</v>
      </c>
    </row>
    <row r="32" spans="1:47" x14ac:dyDescent="0.25">
      <c r="A32" s="36"/>
      <c r="B32" s="19"/>
      <c r="C32" s="62"/>
      <c r="D32" s="62"/>
      <c r="E32" s="62"/>
      <c r="F32" s="62"/>
      <c r="G32" s="62"/>
      <c r="H32" s="65"/>
      <c r="I32" s="73" t="str">
        <f>IF(SUM(I27:I31)=0," ",SUM(I27:I31))</f>
        <v xml:space="preserve"> </v>
      </c>
      <c r="J32" s="37"/>
      <c r="K32" s="37"/>
      <c r="L32" s="37"/>
      <c r="M32" s="37"/>
      <c r="N32" s="38"/>
      <c r="AE32">
        <f t="shared" si="13"/>
        <v>0</v>
      </c>
      <c r="AF32">
        <f t="shared" si="14"/>
        <v>0</v>
      </c>
      <c r="AG32" cm="1">
        <f t="array" ref="AG32">IF(AE32&lt;7000,1,IF(AND(AE32&gt;=7000,AE32&lt;=15000),2,IF(AND(AE32&gt;15000,AE32&lt;=24000),3,NA)))</f>
        <v>1</v>
      </c>
      <c r="AH32" t="str">
        <f t="shared" si="11"/>
        <v>No</v>
      </c>
      <c r="AI32">
        <f t="shared" si="15"/>
        <v>0</v>
      </c>
      <c r="AJ32">
        <f t="shared" si="16"/>
        <v>0</v>
      </c>
      <c r="AK32">
        <f t="shared" si="12"/>
        <v>0</v>
      </c>
      <c r="AT32">
        <v>10.8</v>
      </c>
      <c r="AU32" s="6">
        <f>D44</f>
        <v>50</v>
      </c>
    </row>
    <row r="33" spans="1:47" ht="15.75" thickBot="1" x14ac:dyDescent="0.3">
      <c r="A33" s="39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1"/>
      <c r="AT33">
        <v>11.5</v>
      </c>
      <c r="AU33" s="6">
        <f>F44</f>
        <v>100</v>
      </c>
    </row>
    <row r="35" spans="1:47" x14ac:dyDescent="0.25">
      <c r="B35" s="10" t="s">
        <v>21</v>
      </c>
      <c r="C35" s="11"/>
      <c r="D35" s="11"/>
      <c r="E35" s="11"/>
      <c r="F35" s="11"/>
      <c r="G35" s="12"/>
    </row>
    <row r="36" spans="1:47" x14ac:dyDescent="0.25">
      <c r="B36" s="20" t="s">
        <v>22</v>
      </c>
      <c r="C36" s="21"/>
      <c r="D36" s="21"/>
      <c r="E36" s="21"/>
      <c r="F36" s="21"/>
      <c r="G36" s="22"/>
      <c r="AT36" t="s">
        <v>47</v>
      </c>
      <c r="AU36" t="s">
        <v>60</v>
      </c>
    </row>
    <row r="37" spans="1:47" x14ac:dyDescent="0.25">
      <c r="B37" s="79" t="s">
        <v>113</v>
      </c>
      <c r="C37" s="23" t="s">
        <v>23</v>
      </c>
      <c r="D37" s="24" t="s">
        <v>24</v>
      </c>
      <c r="E37" s="25" t="s">
        <v>25</v>
      </c>
      <c r="F37" s="25" t="s">
        <v>26</v>
      </c>
      <c r="G37" s="24" t="s">
        <v>43</v>
      </c>
      <c r="AT37">
        <v>10.199999999999999</v>
      </c>
      <c r="AU37" s="6">
        <f>D46</f>
        <v>50</v>
      </c>
    </row>
    <row r="38" spans="1:47" ht="18" customHeight="1" thickBot="1" x14ac:dyDescent="0.3">
      <c r="B38" s="80"/>
      <c r="C38" s="26" t="s">
        <v>27</v>
      </c>
      <c r="D38" s="77">
        <v>50</v>
      </c>
      <c r="E38" s="78">
        <v>100</v>
      </c>
      <c r="F38" s="78">
        <v>150</v>
      </c>
      <c r="G38" s="77">
        <v>160</v>
      </c>
      <c r="AT38">
        <v>11</v>
      </c>
      <c r="AU38" s="6">
        <f>F46</f>
        <v>100</v>
      </c>
    </row>
    <row r="39" spans="1:47" ht="15.75" thickTop="1" x14ac:dyDescent="0.25">
      <c r="B39" s="81" t="s">
        <v>114</v>
      </c>
      <c r="C39" s="27" t="s">
        <v>23</v>
      </c>
      <c r="D39" s="82" t="s">
        <v>28</v>
      </c>
      <c r="E39" s="83"/>
      <c r="F39" s="82" t="s">
        <v>29</v>
      </c>
      <c r="G39" s="83"/>
    </row>
    <row r="40" spans="1:47" ht="21.75" customHeight="1" thickBot="1" x14ac:dyDescent="0.3">
      <c r="B40" s="80"/>
      <c r="C40" s="26" t="s">
        <v>27</v>
      </c>
      <c r="D40" s="84">
        <v>50</v>
      </c>
      <c r="E40" s="85"/>
      <c r="F40" s="86">
        <v>60</v>
      </c>
      <c r="G40" s="87"/>
    </row>
    <row r="41" spans="1:47" ht="15.75" thickTop="1" x14ac:dyDescent="0.25">
      <c r="B41" s="81" t="s">
        <v>81</v>
      </c>
      <c r="C41" s="27" t="s">
        <v>23</v>
      </c>
      <c r="D41" s="82" t="s">
        <v>30</v>
      </c>
      <c r="E41" s="89"/>
      <c r="F41" s="89"/>
      <c r="G41" s="83"/>
    </row>
    <row r="42" spans="1:47" ht="24.75" customHeight="1" thickBot="1" x14ac:dyDescent="0.3">
      <c r="B42" s="80"/>
      <c r="C42" s="26" t="s">
        <v>27</v>
      </c>
      <c r="D42" s="90">
        <v>50</v>
      </c>
      <c r="E42" s="91"/>
      <c r="F42" s="91"/>
      <c r="G42" s="92"/>
    </row>
    <row r="43" spans="1:47" ht="15" customHeight="1" thickTop="1" x14ac:dyDescent="0.25">
      <c r="B43" s="81" t="s">
        <v>83</v>
      </c>
      <c r="C43" s="27" t="s">
        <v>23</v>
      </c>
      <c r="D43" s="82" t="s">
        <v>31</v>
      </c>
      <c r="E43" s="83"/>
      <c r="F43" s="93" t="s">
        <v>32</v>
      </c>
      <c r="G43" s="94"/>
    </row>
    <row r="44" spans="1:47" ht="24.75" customHeight="1" thickBot="1" x14ac:dyDescent="0.3">
      <c r="B44" s="80"/>
      <c r="C44" s="26" t="s">
        <v>27</v>
      </c>
      <c r="D44" s="84">
        <v>50</v>
      </c>
      <c r="E44" s="85"/>
      <c r="F44" s="86">
        <v>100</v>
      </c>
      <c r="G44" s="87"/>
    </row>
    <row r="45" spans="1:47" ht="15.75" customHeight="1" thickTop="1" x14ac:dyDescent="0.25">
      <c r="B45" s="81" t="s">
        <v>112</v>
      </c>
      <c r="C45" s="27" t="s">
        <v>23</v>
      </c>
      <c r="D45" s="82" t="s">
        <v>33</v>
      </c>
      <c r="E45" s="83"/>
      <c r="F45" s="93" t="s">
        <v>34</v>
      </c>
      <c r="G45" s="94"/>
    </row>
    <row r="46" spans="1:47" ht="15.75" thickBot="1" x14ac:dyDescent="0.3">
      <c r="B46" s="80"/>
      <c r="C46" s="26" t="s">
        <v>27</v>
      </c>
      <c r="D46" s="84">
        <v>50</v>
      </c>
      <c r="E46" s="85"/>
      <c r="F46" s="86">
        <v>100</v>
      </c>
      <c r="G46" s="87"/>
    </row>
    <row r="47" spans="1:47" ht="15.75" customHeight="1" thickTop="1" x14ac:dyDescent="0.25">
      <c r="B47" s="2"/>
      <c r="C47" s="3"/>
      <c r="D47" s="4"/>
      <c r="E47" s="4"/>
      <c r="F47" s="5"/>
      <c r="G47" s="5"/>
    </row>
    <row r="48" spans="1:47" x14ac:dyDescent="0.25">
      <c r="B48" s="28" t="s">
        <v>35</v>
      </c>
      <c r="C48" s="28"/>
      <c r="D48" s="88" t="s">
        <v>36</v>
      </c>
      <c r="E48" s="88"/>
      <c r="F48" s="88" t="s">
        <v>27</v>
      </c>
      <c r="G48" s="88"/>
    </row>
    <row r="49" spans="2:7" ht="15.75" customHeight="1" x14ac:dyDescent="0.25">
      <c r="B49" s="95" t="s">
        <v>37</v>
      </c>
      <c r="C49" s="95"/>
      <c r="D49" s="96" t="s">
        <v>38</v>
      </c>
      <c r="E49" s="96"/>
      <c r="F49" s="96" t="s">
        <v>39</v>
      </c>
      <c r="G49" s="96"/>
    </row>
    <row r="50" spans="2:7" x14ac:dyDescent="0.25">
      <c r="B50" s="95" t="s">
        <v>67</v>
      </c>
      <c r="C50" s="95"/>
      <c r="D50" s="96" t="s">
        <v>40</v>
      </c>
      <c r="E50" s="96"/>
      <c r="F50" s="96" t="s">
        <v>39</v>
      </c>
      <c r="G50" s="96"/>
    </row>
    <row r="51" spans="2:7" ht="15.75" customHeight="1" x14ac:dyDescent="0.25">
      <c r="B51" s="95" t="s">
        <v>68</v>
      </c>
      <c r="C51" s="95"/>
      <c r="D51" s="96" t="s">
        <v>41</v>
      </c>
      <c r="E51" s="96"/>
      <c r="F51" s="96" t="s">
        <v>39</v>
      </c>
      <c r="G51" s="96"/>
    </row>
  </sheetData>
  <sheetProtection algorithmName="SHA-512" hashValue="9BTIC0fLHwHD9Swl/1M3IEiPZTwwN08Mx5g6o1FZJSYtwYLco1eZMFQOElmA1CghVhyXtJDGuLFyjXsKdGRgog==" saltValue="yTAU0qM1HFBsbL7nck/XBQ==" spinCount="100000" sheet="1" objects="1" scenarios="1" selectLockedCells="1"/>
  <mergeCells count="30">
    <mergeCell ref="B51:C51"/>
    <mergeCell ref="D51:E51"/>
    <mergeCell ref="F51:G51"/>
    <mergeCell ref="B49:C49"/>
    <mergeCell ref="D49:E49"/>
    <mergeCell ref="F49:G49"/>
    <mergeCell ref="B50:C50"/>
    <mergeCell ref="D50:E50"/>
    <mergeCell ref="F50:G50"/>
    <mergeCell ref="F46:G46"/>
    <mergeCell ref="D48:E48"/>
    <mergeCell ref="F48:G48"/>
    <mergeCell ref="B41:B42"/>
    <mergeCell ref="D41:G41"/>
    <mergeCell ref="D42:G42"/>
    <mergeCell ref="B43:B44"/>
    <mergeCell ref="D43:E43"/>
    <mergeCell ref="F43:G43"/>
    <mergeCell ref="D44:E44"/>
    <mergeCell ref="F44:G44"/>
    <mergeCell ref="D46:E46"/>
    <mergeCell ref="F45:G45"/>
    <mergeCell ref="D45:E45"/>
    <mergeCell ref="B45:B46"/>
    <mergeCell ref="B37:B38"/>
    <mergeCell ref="B39:B40"/>
    <mergeCell ref="D39:E39"/>
    <mergeCell ref="F39:G39"/>
    <mergeCell ref="D40:E40"/>
    <mergeCell ref="F40:G40"/>
  </mergeCells>
  <dataValidations disablePrompts="1" count="1">
    <dataValidation type="list" allowBlank="1" showInputMessage="1" showErrorMessage="1" sqref="F17:F21 F27:F31" xr:uid="{F8DEAEB0-05C3-4067-9BF0-6A91B329ED56}">
      <formula1>"tons, BTU/hr"</formula1>
    </dataValidation>
  </dataValidations>
  <pageMargins left="0.7" right="0.7" top="0.75" bottom="0.75" header="0.3" footer="0.3"/>
  <pageSetup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A8A88-C101-4EDA-9464-5129DEA1C8F9}">
  <dimension ref="A1:AS60"/>
  <sheetViews>
    <sheetView showGridLines="0" workbookViewId="0">
      <selection activeCell="G19" sqref="G19"/>
    </sheetView>
  </sheetViews>
  <sheetFormatPr defaultRowHeight="15" x14ac:dyDescent="0.25"/>
  <cols>
    <col min="1" max="1" width="1.5703125" customWidth="1"/>
    <col min="3" max="3" width="33.42578125" customWidth="1"/>
    <col min="4" max="4" width="12.7109375" customWidth="1"/>
    <col min="5" max="5" width="19.7109375" customWidth="1"/>
    <col min="6" max="6" width="18.42578125" customWidth="1"/>
    <col min="7" max="7" width="10.42578125" customWidth="1"/>
    <col min="8" max="8" width="15.42578125" customWidth="1"/>
    <col min="9" max="9" width="14.28515625" customWidth="1"/>
    <col min="10" max="10" width="14.5703125" customWidth="1"/>
    <col min="14" max="14" width="35.5703125" customWidth="1"/>
    <col min="29" max="29" width="0" hidden="1" customWidth="1"/>
    <col min="30" max="30" width="9.140625" hidden="1" customWidth="1"/>
    <col min="31" max="31" width="18.28515625" hidden="1" customWidth="1"/>
    <col min="32" max="32" width="11.42578125" hidden="1" customWidth="1"/>
    <col min="33" max="33" width="14.85546875" hidden="1" customWidth="1"/>
    <col min="34" max="34" width="12.42578125" hidden="1" customWidth="1"/>
    <col min="35" max="37" width="12.140625" hidden="1" customWidth="1"/>
    <col min="38" max="38" width="16.28515625" hidden="1" customWidth="1"/>
    <col min="39" max="39" width="15.28515625" hidden="1" customWidth="1"/>
    <col min="40" max="40" width="9.140625" hidden="1" customWidth="1"/>
    <col min="41" max="41" width="12.140625" hidden="1" customWidth="1"/>
    <col min="42" max="45" width="9.140625" hidden="1" customWidth="1"/>
    <col min="46" max="46" width="0" hidden="1" customWidth="1"/>
    <col min="51" max="51" width="10.42578125" bestFit="1" customWidth="1"/>
  </cols>
  <sheetData>
    <row r="1" spans="1:35" ht="27" thickBot="1" x14ac:dyDescent="0.45">
      <c r="A1" s="35"/>
      <c r="B1" s="13" t="s">
        <v>0</v>
      </c>
      <c r="C1" s="14"/>
      <c r="D1" s="15"/>
      <c r="E1" s="15"/>
      <c r="F1" s="15"/>
      <c r="G1" s="15"/>
      <c r="H1" s="15"/>
      <c r="I1" s="15"/>
      <c r="J1" s="15"/>
      <c r="K1" s="15"/>
      <c r="L1" s="15"/>
      <c r="M1" s="15"/>
      <c r="N1" s="16"/>
    </row>
    <row r="2" spans="1:35" x14ac:dyDescent="0.25">
      <c r="A2" s="36"/>
      <c r="B2" s="29"/>
      <c r="C2" s="17"/>
      <c r="D2" s="17"/>
      <c r="E2" s="17"/>
      <c r="F2" s="17"/>
      <c r="G2" s="17"/>
      <c r="H2" s="17"/>
      <c r="I2" s="17"/>
      <c r="J2" s="18"/>
      <c r="K2" s="18"/>
      <c r="L2" s="18"/>
      <c r="M2" s="18"/>
      <c r="N2" s="1"/>
    </row>
    <row r="3" spans="1:35" ht="15.75" x14ac:dyDescent="0.25">
      <c r="A3" s="36"/>
      <c r="B3" s="30" t="s">
        <v>1</v>
      </c>
      <c r="C3" s="17"/>
      <c r="D3" s="17"/>
      <c r="E3" s="17"/>
      <c r="F3" s="17"/>
      <c r="G3" s="17"/>
      <c r="H3" s="17"/>
      <c r="I3" s="17"/>
      <c r="J3" s="18"/>
      <c r="K3" s="18"/>
      <c r="L3" s="18"/>
      <c r="M3" s="18"/>
      <c r="N3" s="1"/>
    </row>
    <row r="4" spans="1:35" x14ac:dyDescent="0.25">
      <c r="A4" s="36"/>
      <c r="B4" s="31" t="s">
        <v>2</v>
      </c>
      <c r="C4" s="17"/>
      <c r="D4" s="17"/>
      <c r="E4" s="17"/>
      <c r="F4" s="17"/>
      <c r="G4" s="17"/>
      <c r="H4" s="17"/>
      <c r="I4" s="17"/>
      <c r="J4" s="18"/>
      <c r="K4" s="18"/>
      <c r="L4" s="18"/>
      <c r="M4" s="18"/>
      <c r="N4" s="1"/>
    </row>
    <row r="5" spans="1:35" x14ac:dyDescent="0.25">
      <c r="A5" s="36"/>
      <c r="B5" s="31" t="s">
        <v>3</v>
      </c>
      <c r="C5" s="17"/>
      <c r="D5" s="17"/>
      <c r="E5" s="17"/>
      <c r="F5" s="17"/>
      <c r="G5" s="17"/>
      <c r="H5" s="17"/>
      <c r="I5" s="17"/>
      <c r="J5" s="18"/>
      <c r="K5" s="18"/>
      <c r="L5" s="18"/>
      <c r="M5" s="18"/>
      <c r="N5" s="1"/>
    </row>
    <row r="6" spans="1:35" x14ac:dyDescent="0.25">
      <c r="A6" s="36"/>
      <c r="B6" s="32" t="s">
        <v>4</v>
      </c>
      <c r="C6" s="17"/>
      <c r="D6" s="17"/>
      <c r="E6" s="17"/>
      <c r="F6" s="17"/>
      <c r="G6" s="17"/>
      <c r="H6" s="17"/>
      <c r="I6" s="17"/>
      <c r="J6" s="18"/>
      <c r="K6" s="18"/>
      <c r="L6" s="18"/>
      <c r="M6" s="18"/>
      <c r="N6" s="1"/>
    </row>
    <row r="7" spans="1:35" x14ac:dyDescent="0.25">
      <c r="A7" s="36"/>
      <c r="B7" s="32" t="s">
        <v>110</v>
      </c>
      <c r="C7" s="17"/>
      <c r="D7" s="17"/>
      <c r="E7" s="17"/>
      <c r="F7" s="17"/>
      <c r="G7" s="17"/>
      <c r="H7" s="17"/>
      <c r="I7" s="17"/>
      <c r="J7" s="18"/>
      <c r="K7" s="18"/>
      <c r="L7" s="18"/>
      <c r="M7" s="18"/>
      <c r="N7" s="1"/>
    </row>
    <row r="8" spans="1:35" x14ac:dyDescent="0.25">
      <c r="A8" s="36"/>
      <c r="B8" s="32" t="s">
        <v>6</v>
      </c>
      <c r="C8" s="17"/>
      <c r="D8" s="17"/>
      <c r="E8" s="17"/>
      <c r="F8" s="17"/>
      <c r="G8" s="17"/>
      <c r="H8" s="17"/>
      <c r="I8" s="17"/>
      <c r="J8" s="18"/>
      <c r="K8" s="18"/>
      <c r="L8" s="18"/>
      <c r="M8" s="18"/>
      <c r="N8" s="1"/>
    </row>
    <row r="9" spans="1:35" x14ac:dyDescent="0.25">
      <c r="A9" s="36"/>
      <c r="B9" s="33" t="s">
        <v>111</v>
      </c>
      <c r="C9" s="17"/>
      <c r="D9" s="17"/>
      <c r="E9" s="17"/>
      <c r="F9" s="17"/>
      <c r="G9" s="17"/>
      <c r="H9" s="17"/>
      <c r="I9" s="17"/>
      <c r="J9" s="18"/>
      <c r="K9" s="18"/>
      <c r="L9" s="18"/>
      <c r="M9" s="18"/>
      <c r="N9" s="1"/>
    </row>
    <row r="10" spans="1:35" x14ac:dyDescent="0.25">
      <c r="A10" s="36"/>
      <c r="B10" s="34" t="s">
        <v>7</v>
      </c>
      <c r="C10" s="17"/>
      <c r="D10" s="17"/>
      <c r="E10" s="17"/>
      <c r="F10" s="17"/>
      <c r="G10" s="17"/>
      <c r="H10" s="17"/>
      <c r="I10" s="17"/>
      <c r="J10" s="18"/>
      <c r="K10" s="18"/>
      <c r="L10" s="18"/>
      <c r="M10" s="18"/>
      <c r="N10" s="1"/>
    </row>
    <row r="11" spans="1:35" x14ac:dyDescent="0.25">
      <c r="A11" s="36"/>
      <c r="B11" s="34" t="s">
        <v>8</v>
      </c>
      <c r="C11" s="17"/>
      <c r="D11" s="17"/>
      <c r="E11" s="17"/>
      <c r="F11" s="17"/>
      <c r="G11" s="17"/>
      <c r="H11" s="17"/>
      <c r="I11" s="17"/>
      <c r="J11" s="18"/>
      <c r="K11" s="18"/>
      <c r="L11" s="18"/>
      <c r="M11" s="18"/>
      <c r="N11" s="1"/>
    </row>
    <row r="12" spans="1:35" ht="15.75" thickBot="1" x14ac:dyDescent="0.3">
      <c r="A12" s="36"/>
      <c r="B12" s="29"/>
      <c r="C12" s="17"/>
      <c r="D12" s="17"/>
      <c r="E12" s="17"/>
      <c r="F12" s="17"/>
      <c r="G12" s="17"/>
      <c r="H12" s="17"/>
      <c r="I12" s="17"/>
      <c r="J12" s="18"/>
      <c r="K12" s="18"/>
      <c r="L12" s="18"/>
      <c r="M12" s="18"/>
      <c r="N12" s="1"/>
    </row>
    <row r="13" spans="1:35" ht="16.5" thickBot="1" x14ac:dyDescent="0.3">
      <c r="A13" s="36"/>
      <c r="B13" s="7" t="s">
        <v>9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</row>
    <row r="14" spans="1:35" x14ac:dyDescent="0.25">
      <c r="A14" s="36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8"/>
    </row>
    <row r="15" spans="1:35" x14ac:dyDescent="0.25">
      <c r="A15" s="36"/>
      <c r="B15" s="43" t="s">
        <v>92</v>
      </c>
      <c r="C15" s="44"/>
      <c r="D15" s="44"/>
      <c r="E15" s="44" t="s">
        <v>93</v>
      </c>
      <c r="F15" s="44"/>
      <c r="G15" s="44"/>
      <c r="H15" s="44"/>
      <c r="I15" s="55"/>
      <c r="J15" s="37"/>
      <c r="K15" s="37"/>
      <c r="L15" s="37"/>
      <c r="M15" s="37"/>
      <c r="N15" s="38"/>
      <c r="AE15" t="s">
        <v>95</v>
      </c>
      <c r="AF15" t="s">
        <v>93</v>
      </c>
    </row>
    <row r="16" spans="1:35" ht="30" customHeight="1" x14ac:dyDescent="0.25">
      <c r="A16" s="36"/>
      <c r="B16" s="56" t="s">
        <v>11</v>
      </c>
      <c r="C16" s="60" t="s">
        <v>12</v>
      </c>
      <c r="D16" s="56" t="s">
        <v>13</v>
      </c>
      <c r="E16" s="56" t="s">
        <v>70</v>
      </c>
      <c r="F16" s="56" t="s">
        <v>71</v>
      </c>
      <c r="G16" s="56" t="s">
        <v>94</v>
      </c>
      <c r="H16" s="56" t="s">
        <v>102</v>
      </c>
      <c r="I16" s="52" t="s">
        <v>14</v>
      </c>
      <c r="J16" s="37"/>
      <c r="K16" s="37"/>
      <c r="L16" s="37"/>
      <c r="M16" s="37"/>
      <c r="N16" s="38"/>
      <c r="AE16" t="s">
        <v>16</v>
      </c>
      <c r="AF16" t="s">
        <v>66</v>
      </c>
      <c r="AG16" t="s">
        <v>96</v>
      </c>
      <c r="AH16" t="s">
        <v>19</v>
      </c>
      <c r="AI16" t="s">
        <v>14</v>
      </c>
    </row>
    <row r="17" spans="1:41" ht="24.95" customHeight="1" x14ac:dyDescent="0.25">
      <c r="A17" s="36"/>
      <c r="B17" s="61"/>
      <c r="C17" s="61"/>
      <c r="D17" s="61"/>
      <c r="E17" s="63"/>
      <c r="F17" s="61"/>
      <c r="G17" s="61"/>
      <c r="H17" s="57" t="str">
        <f>IF(G17=0," ",IF(AH17="Ineligible", "Ineligible",IF(AH17="Use below table", "Use below table","$"&amp;AH17&amp;"/Ton")))</f>
        <v xml:space="preserve"> </v>
      </c>
      <c r="I17" s="53" t="str">
        <f>IF(H17=" "," ",AI17)</f>
        <v xml:space="preserve"> </v>
      </c>
      <c r="J17" s="37"/>
      <c r="K17" s="37"/>
      <c r="L17" s="37"/>
      <c r="M17" s="37"/>
      <c r="N17" s="38"/>
      <c r="AE17">
        <f>IF(F17="BTU/hr", E17, IF(F17="tons", E17*12000,0))</f>
        <v>0</v>
      </c>
      <c r="AF17">
        <f>D17</f>
        <v>0</v>
      </c>
      <c r="AG17">
        <f>G17</f>
        <v>0</v>
      </c>
      <c r="AH17" t="str">
        <f>IF(AE17&gt;65000, "Use below table", IF(AG17&lt;15, "Ineligible", IF(AND(AG17&gt;=15,AG17&lt;16),50,IF(AND(AG17&gt;=16,AG17&lt;17),100,IF(AND(AG17&gt;=17,AG17&lt;18),125,IF(AG17&gt;=18, 150))))))</f>
        <v>Ineligible</v>
      </c>
      <c r="AI17" t="str">
        <f>IF(AH17="Ineligible","Ineligible",IF(AH17="Use below table","Use below table",AH17*AF17*(AE17/12000)))</f>
        <v>Ineligible</v>
      </c>
    </row>
    <row r="18" spans="1:41" ht="24.95" customHeight="1" x14ac:dyDescent="0.25">
      <c r="A18" s="36"/>
      <c r="B18" s="61"/>
      <c r="C18" s="61"/>
      <c r="D18" s="61"/>
      <c r="E18" s="63"/>
      <c r="F18" s="61"/>
      <c r="G18" s="61"/>
      <c r="H18" s="57" t="str">
        <f t="shared" ref="H18:H21" si="0">IF(G18=0," ",IF(AH18="Ineligible", "Ineligible",IF(AH18="Use below table", "Use below table","$"&amp;AH18&amp;"/Ton")))</f>
        <v xml:space="preserve"> </v>
      </c>
      <c r="I18" s="53" t="str">
        <f t="shared" ref="I18:I21" si="1">IF(H18=" "," ",AI18)</f>
        <v xml:space="preserve"> </v>
      </c>
      <c r="J18" s="37"/>
      <c r="K18" s="37"/>
      <c r="L18" s="37"/>
      <c r="M18" s="37"/>
      <c r="N18" s="38"/>
      <c r="AE18">
        <f t="shared" ref="AE18:AE21" si="2">IF(F18="BTU/hr", E18, IF(F18="tons", E18*12000,0))</f>
        <v>0</v>
      </c>
      <c r="AF18">
        <f t="shared" ref="AF18:AF21" si="3">D18</f>
        <v>0</v>
      </c>
      <c r="AG18">
        <f t="shared" ref="AG18:AG21" si="4">G18</f>
        <v>0</v>
      </c>
      <c r="AH18" t="str">
        <f t="shared" ref="AH18:AH21" si="5">IF(AE18&gt;65000, "Use below table", IF(AG18&lt;15, "Ineligible", IF(AND(AG18&gt;=15,AG18&lt;16),50,IF(AND(AG18&gt;=16,AG18&lt;17),100,IF(AND(AG18&gt;=17,AG18&lt;18),125,IF(AG18&gt;=18, 150))))))</f>
        <v>Ineligible</v>
      </c>
      <c r="AI18" t="str">
        <f t="shared" ref="AI18:AI21" si="6">IF(AH18="Ineligible","Ineligible",IF(AH18="Use below table","Use below table",AH18*AF18*(AE18/12000)))</f>
        <v>Ineligible</v>
      </c>
    </row>
    <row r="19" spans="1:41" ht="24.95" customHeight="1" x14ac:dyDescent="0.25">
      <c r="A19" s="36"/>
      <c r="B19" s="61"/>
      <c r="C19" s="61"/>
      <c r="D19" s="61"/>
      <c r="E19" s="63"/>
      <c r="F19" s="61"/>
      <c r="G19" s="61"/>
      <c r="H19" s="57" t="str">
        <f t="shared" si="0"/>
        <v xml:space="preserve"> </v>
      </c>
      <c r="I19" s="53" t="str">
        <f t="shared" si="1"/>
        <v xml:space="preserve"> </v>
      </c>
      <c r="J19" s="37"/>
      <c r="K19" s="37"/>
      <c r="L19" s="37"/>
      <c r="M19" s="37"/>
      <c r="N19" s="38"/>
      <c r="AE19">
        <f t="shared" si="2"/>
        <v>0</v>
      </c>
      <c r="AF19">
        <f t="shared" si="3"/>
        <v>0</v>
      </c>
      <c r="AG19">
        <f t="shared" si="4"/>
        <v>0</v>
      </c>
      <c r="AH19" t="str">
        <f t="shared" si="5"/>
        <v>Ineligible</v>
      </c>
      <c r="AI19" t="str">
        <f t="shared" si="6"/>
        <v>Ineligible</v>
      </c>
    </row>
    <row r="20" spans="1:41" ht="24.95" customHeight="1" x14ac:dyDescent="0.25">
      <c r="A20" s="36"/>
      <c r="B20" s="61"/>
      <c r="C20" s="61"/>
      <c r="D20" s="61"/>
      <c r="E20" s="63"/>
      <c r="F20" s="61"/>
      <c r="G20" s="61"/>
      <c r="H20" s="57" t="str">
        <f t="shared" si="0"/>
        <v xml:space="preserve"> </v>
      </c>
      <c r="I20" s="53" t="str">
        <f t="shared" si="1"/>
        <v xml:space="preserve"> </v>
      </c>
      <c r="J20" s="37"/>
      <c r="K20" s="37"/>
      <c r="L20" s="37"/>
      <c r="M20" s="37"/>
      <c r="N20" s="38"/>
      <c r="AE20">
        <f t="shared" si="2"/>
        <v>0</v>
      </c>
      <c r="AF20">
        <f t="shared" si="3"/>
        <v>0</v>
      </c>
      <c r="AG20">
        <f t="shared" si="4"/>
        <v>0</v>
      </c>
      <c r="AH20" t="str">
        <f t="shared" si="5"/>
        <v>Ineligible</v>
      </c>
      <c r="AI20" t="str">
        <f t="shared" si="6"/>
        <v>Ineligible</v>
      </c>
    </row>
    <row r="21" spans="1:41" ht="24.95" customHeight="1" thickBot="1" x14ac:dyDescent="0.3">
      <c r="A21" s="36"/>
      <c r="B21" s="67"/>
      <c r="C21" s="67"/>
      <c r="D21" s="67"/>
      <c r="E21" s="76"/>
      <c r="F21" s="67"/>
      <c r="G21" s="67"/>
      <c r="H21" s="69" t="str">
        <f t="shared" si="0"/>
        <v xml:space="preserve"> </v>
      </c>
      <c r="I21" s="70" t="str">
        <f t="shared" si="1"/>
        <v xml:space="preserve"> </v>
      </c>
      <c r="J21" s="37"/>
      <c r="K21" s="37"/>
      <c r="L21" s="37"/>
      <c r="M21" s="37"/>
      <c r="N21" s="38"/>
      <c r="AE21">
        <f t="shared" si="2"/>
        <v>0</v>
      </c>
      <c r="AF21">
        <f t="shared" si="3"/>
        <v>0</v>
      </c>
      <c r="AG21">
        <f t="shared" si="4"/>
        <v>0</v>
      </c>
      <c r="AH21" t="str">
        <f t="shared" si="5"/>
        <v>Ineligible</v>
      </c>
      <c r="AI21" t="str">
        <f t="shared" si="6"/>
        <v>Ineligible</v>
      </c>
    </row>
    <row r="22" spans="1:41" ht="15" customHeight="1" thickTop="1" x14ac:dyDescent="0.25">
      <c r="A22" s="36"/>
      <c r="B22" s="42"/>
      <c r="C22" s="42"/>
      <c r="D22" s="42"/>
      <c r="E22" s="42"/>
      <c r="F22" s="42"/>
      <c r="G22" s="42"/>
      <c r="H22" s="71"/>
      <c r="I22" s="54" t="str">
        <f>IF(SUM(I17:I21)=0," ",SUM(I17:I21))</f>
        <v xml:space="preserve"> </v>
      </c>
      <c r="J22" s="37"/>
      <c r="K22" s="37"/>
      <c r="L22" s="37"/>
      <c r="M22" s="37"/>
      <c r="N22" s="38"/>
    </row>
    <row r="23" spans="1:41" ht="15" customHeight="1" x14ac:dyDescent="0.25">
      <c r="A23" s="36"/>
      <c r="B23" s="37"/>
      <c r="C23" s="37"/>
      <c r="D23" s="37"/>
      <c r="E23" s="37"/>
      <c r="F23" s="37"/>
      <c r="G23" s="37"/>
      <c r="H23" s="37"/>
      <c r="I23" s="46"/>
      <c r="J23" s="37"/>
      <c r="K23" s="37"/>
      <c r="L23" s="37"/>
      <c r="M23" s="37"/>
      <c r="N23" s="38"/>
    </row>
    <row r="24" spans="1:41" x14ac:dyDescent="0.25">
      <c r="A24" s="36"/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8"/>
    </row>
    <row r="25" spans="1:41" x14ac:dyDescent="0.25">
      <c r="A25" s="36"/>
      <c r="B25" s="43" t="s">
        <v>92</v>
      </c>
      <c r="C25" s="44"/>
      <c r="D25" s="44"/>
      <c r="E25" s="44" t="s">
        <v>97</v>
      </c>
      <c r="F25" s="44"/>
      <c r="G25" s="44"/>
      <c r="H25" s="44"/>
      <c r="I25" s="44"/>
      <c r="J25" s="45"/>
      <c r="K25" s="37"/>
      <c r="L25" s="37"/>
      <c r="M25" s="37"/>
      <c r="N25" s="38"/>
      <c r="AF25" t="s">
        <v>95</v>
      </c>
    </row>
    <row r="26" spans="1:41" ht="30" x14ac:dyDescent="0.25">
      <c r="A26" s="36"/>
      <c r="B26" s="58" t="s">
        <v>11</v>
      </c>
      <c r="C26" s="60" t="s">
        <v>12</v>
      </c>
      <c r="D26" s="56" t="s">
        <v>13</v>
      </c>
      <c r="E26" s="56" t="s">
        <v>70</v>
      </c>
      <c r="F26" s="56" t="s">
        <v>71</v>
      </c>
      <c r="G26" s="56" t="s">
        <v>63</v>
      </c>
      <c r="H26" s="56" t="s">
        <v>101</v>
      </c>
      <c r="I26" s="56" t="s">
        <v>65</v>
      </c>
      <c r="J26" s="56" t="s">
        <v>14</v>
      </c>
      <c r="K26" s="37"/>
      <c r="L26" s="37"/>
      <c r="M26" s="37"/>
      <c r="N26" s="38"/>
      <c r="AF26" t="s">
        <v>16</v>
      </c>
      <c r="AG26" t="s">
        <v>66</v>
      </c>
      <c r="AH26" t="s">
        <v>100</v>
      </c>
      <c r="AI26" t="s">
        <v>98</v>
      </c>
      <c r="AJ26" t="s">
        <v>99</v>
      </c>
      <c r="AK26" t="s">
        <v>103</v>
      </c>
      <c r="AL26" t="s">
        <v>104</v>
      </c>
      <c r="AM26" t="s">
        <v>105</v>
      </c>
      <c r="AN26" t="s">
        <v>27</v>
      </c>
      <c r="AO26" t="s">
        <v>14</v>
      </c>
    </row>
    <row r="27" spans="1:41" ht="24.95" customHeight="1" x14ac:dyDescent="0.25">
      <c r="A27" s="36"/>
      <c r="B27" s="59"/>
      <c r="C27" s="61"/>
      <c r="D27" s="61"/>
      <c r="E27" s="63"/>
      <c r="F27" s="61"/>
      <c r="G27" s="61"/>
      <c r="H27" s="61"/>
      <c r="I27" s="57" t="str">
        <f t="shared" ref="I27:I32" si="7">IF(AN27=0," ", IF(AN27="Use above table", "Use above table", IF(AN27="Ineligible","Ineligible","$"&amp;AN27&amp;"/Ton")))</f>
        <v xml:space="preserve"> </v>
      </c>
      <c r="J27" s="57" t="str">
        <f>IF(AO27=0," ",IF(AO27="Ineligible","Ineligible",AO27))</f>
        <v xml:space="preserve"> </v>
      </c>
      <c r="K27" s="37"/>
      <c r="L27" s="37"/>
      <c r="M27" s="37"/>
      <c r="N27" s="38"/>
      <c r="AF27">
        <f>IF(F27="BTU/hr", E27, IF(F27="tons", E27*12000,0))</f>
        <v>0</v>
      </c>
      <c r="AG27">
        <f>D27</f>
        <v>0</v>
      </c>
      <c r="AH27" t="str">
        <f>IF(AND(AF27&gt;65000,AF27&lt;=135000),"One",IF(AND(AF27&gt;135000,AF27&lt;=240000),"Two",IF(AND(AF27&gt;240000,AF27&lt;=760000),"Three","Ineligible")))</f>
        <v>Ineligible</v>
      </c>
      <c r="AI27">
        <f>Table2[[#This Row],[EER]]</f>
        <v>0</v>
      </c>
      <c r="AJ27">
        <f>Table2[[#This Row],[COP]]</f>
        <v>0</v>
      </c>
      <c r="AK27" t="str">
        <f>IF(AND(AH27="One",AI27&gt;=12),"Yes",IF(AND(AH27="Two",AI27&gt;=11.2),"Yes",IF(AND(AH27="Three",AI27&gt;=10,AI27&lt;11.5),"Yes1",IF(AND(AH27="Three",AI27&gt;=11.5),"Yes2","No"))))</f>
        <v>No</v>
      </c>
      <c r="AL27" t="str">
        <f>IF(AND(AH27="One",AJ27&gt;=3.55),"Yes",IF(AND(AH27="Two",AJ27&gt;=3.51),"Yes",IF(AND(AH27="Three",AJ27&gt;=3.3),"Yes","No")))</f>
        <v>No</v>
      </c>
      <c r="AM27" t="str">
        <f t="shared" ref="AM27:AM30" si="8">IF(AND(AK27="Yes",AL27="Yes"),"Yes",IF(AND(AK27="Yes2",AL27="Yes"),"Yes","No"))</f>
        <v>No</v>
      </c>
      <c r="AN27">
        <f>IF(AND(AF27&gt;0,AF27&lt;65000), "Use above table", IF(AI27=0,0,IF(AJ27=0,0,IF(AM27="No","Ineligible",IF(AH27="One",50, IF(AH27="Two",50,IF(AK27="Yes1",50,IF(AK27="Yes2",100, IF(AH27="Ineligible", "Ineligible",0)))))))))</f>
        <v>0</v>
      </c>
      <c r="AO27">
        <f>IF(AN27="Use above table", "Use above table", IF(AN27=0, 0, IF(AN27="Ineligible", "Ineligible", AN27*AG27*(AF27/12000))))</f>
        <v>0</v>
      </c>
    </row>
    <row r="28" spans="1:41" ht="24.95" customHeight="1" x14ac:dyDescent="0.25">
      <c r="A28" s="36"/>
      <c r="B28" s="59"/>
      <c r="C28" s="61"/>
      <c r="D28" s="61"/>
      <c r="E28" s="63"/>
      <c r="F28" s="61"/>
      <c r="G28" s="61"/>
      <c r="H28" s="61"/>
      <c r="I28" s="57" t="str">
        <f t="shared" si="7"/>
        <v xml:space="preserve"> </v>
      </c>
      <c r="J28" s="57" t="str">
        <f t="shared" ref="J28:J31" si="9">IF(AO28=0," ",IF(AO28="Ineligible","Ineligible",AO28))</f>
        <v xml:space="preserve"> </v>
      </c>
      <c r="K28" s="37"/>
      <c r="L28" s="37"/>
      <c r="M28" s="37"/>
      <c r="N28" s="38"/>
      <c r="AF28">
        <f>IF(F28="BTU/hr", E28, IF(F28="tons", E28*12000,0))</f>
        <v>0</v>
      </c>
      <c r="AG28">
        <f t="shared" ref="AG28:AG31" si="10">D28</f>
        <v>0</v>
      </c>
      <c r="AH28" t="str">
        <f t="shared" ref="AH28:AH31" si="11">IF(AND(AF28&gt;65000,AF28&lt;=135000),"One",IF(AND(AF28&gt;135000,AF28&lt;=240000),"Two",IF(AND(AF28&gt;240000,AF28&lt;=760000),"Three","Ineligible")))</f>
        <v>Ineligible</v>
      </c>
      <c r="AI28">
        <f>Table2[[#This Row],[EER]]</f>
        <v>0</v>
      </c>
      <c r="AJ28">
        <f>Table2[[#This Row],[COP]]</f>
        <v>0</v>
      </c>
      <c r="AK28" t="str">
        <f t="shared" ref="AK28:AK31" si="12">IF(AND(AH28="One",AI28&gt;=12),"Yes",IF(AND(AH28="Two",AI28&gt;=11.2),"Yes",IF(AND(AH28="Three",AI28&gt;=10,AI28&lt;11.5),"Yes1",IF(AND(AH28="Three",AI28&gt;=11.5),"Yes2","No"))))</f>
        <v>No</v>
      </c>
      <c r="AL28" t="str">
        <f t="shared" ref="AL28:AL31" si="13">IF(AND(AH28="One",AJ28&gt;=3.55),"Yes",IF(AND(AH28="Two",AJ28&gt;=3.51),"Yes",IF(AND(AH28="Three",AJ28&gt;=3.3),"Yes","No")))</f>
        <v>No</v>
      </c>
      <c r="AM28" t="str">
        <f t="shared" si="8"/>
        <v>No</v>
      </c>
      <c r="AN28">
        <f t="shared" ref="AN28:AN31" si="14">IF(AND(AF28&gt;0,AF28&lt;65000), "Use above table", IF(AI28=0,0,IF(AJ28=0,0,IF(AM28="No","Ineligible",IF(AH28="One",50, IF(AH28="Two",50,IF(AK28="Yes1",50,IF(AK28="Yes2",100, IF(AH28="Ineligible", "Ineligible",0)))))))))</f>
        <v>0</v>
      </c>
      <c r="AO28">
        <f t="shared" ref="AO28:AO31" si="15">IF(AN28="Use above table", "Use above table", IF(AN28=0, 0, IF(AN28="Ineligible", "Ineligible", AN28*AG28*(AF28/12000))))</f>
        <v>0</v>
      </c>
    </row>
    <row r="29" spans="1:41" ht="24.95" customHeight="1" x14ac:dyDescent="0.25">
      <c r="A29" s="36"/>
      <c r="B29" s="59"/>
      <c r="C29" s="61"/>
      <c r="D29" s="61"/>
      <c r="E29" s="63"/>
      <c r="F29" s="61"/>
      <c r="G29" s="61"/>
      <c r="H29" s="61"/>
      <c r="I29" s="57" t="str">
        <f t="shared" si="7"/>
        <v xml:space="preserve"> </v>
      </c>
      <c r="J29" s="57" t="str">
        <f t="shared" si="9"/>
        <v xml:space="preserve"> </v>
      </c>
      <c r="K29" s="37"/>
      <c r="L29" s="37"/>
      <c r="M29" s="37"/>
      <c r="N29" s="38"/>
      <c r="AF29">
        <f>IF(F29="BTU/hr", E29, IF(F29="tons", E29*12000,0))</f>
        <v>0</v>
      </c>
      <c r="AG29">
        <f t="shared" si="10"/>
        <v>0</v>
      </c>
      <c r="AH29" t="str">
        <f t="shared" si="11"/>
        <v>Ineligible</v>
      </c>
      <c r="AI29">
        <f>Table2[[#This Row],[EER]]</f>
        <v>0</v>
      </c>
      <c r="AJ29">
        <f>Table2[[#This Row],[COP]]</f>
        <v>0</v>
      </c>
      <c r="AK29" t="str">
        <f t="shared" si="12"/>
        <v>No</v>
      </c>
      <c r="AL29" t="str">
        <f t="shared" si="13"/>
        <v>No</v>
      </c>
      <c r="AM29" t="str">
        <f t="shared" si="8"/>
        <v>No</v>
      </c>
      <c r="AN29">
        <f t="shared" si="14"/>
        <v>0</v>
      </c>
      <c r="AO29">
        <f t="shared" si="15"/>
        <v>0</v>
      </c>
    </row>
    <row r="30" spans="1:41" ht="24.95" customHeight="1" x14ac:dyDescent="0.25">
      <c r="A30" s="36"/>
      <c r="B30" s="59"/>
      <c r="C30" s="61"/>
      <c r="D30" s="61"/>
      <c r="E30" s="63"/>
      <c r="F30" s="61"/>
      <c r="G30" s="61"/>
      <c r="H30" s="61"/>
      <c r="I30" s="57" t="str">
        <f t="shared" si="7"/>
        <v xml:space="preserve"> </v>
      </c>
      <c r="J30" s="57" t="str">
        <f t="shared" si="9"/>
        <v xml:space="preserve"> </v>
      </c>
      <c r="K30" s="37"/>
      <c r="L30" s="37"/>
      <c r="M30" s="37"/>
      <c r="N30" s="38"/>
      <c r="AF30">
        <f>IF(F30="BTU/hr", E30, IF(F30="tons", E30*12000,0))</f>
        <v>0</v>
      </c>
      <c r="AG30">
        <f t="shared" si="10"/>
        <v>0</v>
      </c>
      <c r="AH30" t="str">
        <f t="shared" si="11"/>
        <v>Ineligible</v>
      </c>
      <c r="AI30">
        <f>Table2[[#This Row],[EER]]</f>
        <v>0</v>
      </c>
      <c r="AJ30">
        <f>Table2[[#This Row],[COP]]</f>
        <v>0</v>
      </c>
      <c r="AK30" t="str">
        <f t="shared" si="12"/>
        <v>No</v>
      </c>
      <c r="AL30" t="str">
        <f t="shared" si="13"/>
        <v>No</v>
      </c>
      <c r="AM30" t="str">
        <f t="shared" si="8"/>
        <v>No</v>
      </c>
      <c r="AN30">
        <f t="shared" si="14"/>
        <v>0</v>
      </c>
      <c r="AO30">
        <f t="shared" si="15"/>
        <v>0</v>
      </c>
    </row>
    <row r="31" spans="1:41" ht="24.95" customHeight="1" thickBot="1" x14ac:dyDescent="0.3">
      <c r="A31" s="36"/>
      <c r="B31" s="66"/>
      <c r="C31" s="67"/>
      <c r="D31" s="67"/>
      <c r="E31" s="76"/>
      <c r="F31" s="67"/>
      <c r="G31" s="67"/>
      <c r="H31" s="67"/>
      <c r="I31" s="69" t="str">
        <f t="shared" si="7"/>
        <v xml:space="preserve"> </v>
      </c>
      <c r="J31" s="69" t="str">
        <f t="shared" si="9"/>
        <v xml:space="preserve"> </v>
      </c>
      <c r="K31" s="37"/>
      <c r="L31" s="37"/>
      <c r="M31" s="37"/>
      <c r="N31" s="38"/>
      <c r="AF31">
        <f>IF(F31="BTU/hr", E31, IF(F31="tons", E31*12000,0))</f>
        <v>0</v>
      </c>
      <c r="AG31">
        <f t="shared" si="10"/>
        <v>0</v>
      </c>
      <c r="AH31" t="str">
        <f t="shared" si="11"/>
        <v>Ineligible</v>
      </c>
      <c r="AI31">
        <f>Table2[[#This Row],[EER]]</f>
        <v>0</v>
      </c>
      <c r="AJ31">
        <f>Table2[[#This Row],[COP]]</f>
        <v>0</v>
      </c>
      <c r="AK31" t="str">
        <f t="shared" si="12"/>
        <v>No</v>
      </c>
      <c r="AL31" t="str">
        <f t="shared" si="13"/>
        <v>No</v>
      </c>
      <c r="AM31" t="str">
        <f>IF(AND(AK31="Yes",AL31="Yes"),"Yes",IF(AND(AK31="Yes2",AL31="Yes"),"Yes","No"))</f>
        <v>No</v>
      </c>
      <c r="AN31">
        <f t="shared" si="14"/>
        <v>0</v>
      </c>
      <c r="AO31">
        <f t="shared" si="15"/>
        <v>0</v>
      </c>
    </row>
    <row r="32" spans="1:41" ht="15.75" thickTop="1" x14ac:dyDescent="0.25">
      <c r="A32" s="36"/>
      <c r="B32" s="19"/>
      <c r="C32" s="62"/>
      <c r="D32" s="62"/>
      <c r="E32" s="62"/>
      <c r="F32" s="62"/>
      <c r="G32" s="62"/>
      <c r="H32" s="62"/>
      <c r="I32" s="73" t="str">
        <f t="shared" si="7"/>
        <v xml:space="preserve"> </v>
      </c>
      <c r="J32" s="73" t="str">
        <f>IF(SUM(J27:J31)=0," ",SUM(J27:J31))</f>
        <v xml:space="preserve"> </v>
      </c>
      <c r="K32" s="37"/>
      <c r="L32" s="37"/>
      <c r="M32" s="37"/>
      <c r="N32" s="38"/>
    </row>
    <row r="33" spans="1:44" x14ac:dyDescent="0.25">
      <c r="A33" s="36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8"/>
    </row>
    <row r="34" spans="1:44" x14ac:dyDescent="0.25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8"/>
    </row>
    <row r="35" spans="1:44" x14ac:dyDescent="0.25">
      <c r="A35" s="36"/>
      <c r="B35" s="43" t="s">
        <v>35</v>
      </c>
      <c r="C35" s="44"/>
      <c r="D35" s="44"/>
      <c r="E35" s="44"/>
      <c r="F35" s="44"/>
      <c r="G35" s="44"/>
      <c r="H35" s="44"/>
      <c r="I35" s="44"/>
      <c r="J35" s="45"/>
      <c r="K35" s="37"/>
      <c r="L35" s="37"/>
      <c r="M35" s="37"/>
      <c r="N35" s="38"/>
      <c r="AF35" t="s">
        <v>106</v>
      </c>
    </row>
    <row r="36" spans="1:44" ht="30" customHeight="1" x14ac:dyDescent="0.25">
      <c r="A36" s="36"/>
      <c r="B36" s="56" t="s">
        <v>11</v>
      </c>
      <c r="C36" s="60" t="s">
        <v>12</v>
      </c>
      <c r="D36" s="56" t="s">
        <v>13</v>
      </c>
      <c r="E36" s="56" t="s">
        <v>70</v>
      </c>
      <c r="F36" s="56" t="s">
        <v>71</v>
      </c>
      <c r="G36" s="56" t="s">
        <v>63</v>
      </c>
      <c r="H36" s="56" t="s">
        <v>101</v>
      </c>
      <c r="I36" s="56" t="s">
        <v>64</v>
      </c>
      <c r="J36" s="52" t="s">
        <v>14</v>
      </c>
      <c r="K36" s="37"/>
      <c r="L36" s="37"/>
      <c r="M36" s="37"/>
      <c r="N36" s="38"/>
      <c r="AF36" t="s">
        <v>16</v>
      </c>
      <c r="AG36" t="s">
        <v>66</v>
      </c>
      <c r="AH36" t="s">
        <v>17</v>
      </c>
      <c r="AI36" t="s">
        <v>98</v>
      </c>
      <c r="AJ36" t="s">
        <v>99</v>
      </c>
      <c r="AK36" t="s">
        <v>61</v>
      </c>
      <c r="AL36" t="s">
        <v>108</v>
      </c>
      <c r="AM36" t="s">
        <v>109</v>
      </c>
      <c r="AN36" t="s">
        <v>19</v>
      </c>
      <c r="AO36" t="s">
        <v>14</v>
      </c>
      <c r="AP36" t="s">
        <v>17</v>
      </c>
      <c r="AQ36" t="s">
        <v>62</v>
      </c>
      <c r="AR36" t="s">
        <v>107</v>
      </c>
    </row>
    <row r="37" spans="1:44" ht="24.95" customHeight="1" x14ac:dyDescent="0.25">
      <c r="A37" s="36"/>
      <c r="B37" s="61"/>
      <c r="C37" s="61"/>
      <c r="D37" s="61"/>
      <c r="E37" s="63"/>
      <c r="F37" s="61"/>
      <c r="G37" s="61"/>
      <c r="H37" s="61"/>
      <c r="I37" s="57" t="str">
        <f t="shared" ref="I37:I42" si="16">IF(AN37=0," ",IF(AN37="Ineligible","Ineligible", "$"&amp;AN37&amp;"/Ton"))</f>
        <v xml:space="preserve"> </v>
      </c>
      <c r="J37" s="53" t="str">
        <f>IF(AO37=0," ",AO37)</f>
        <v xml:space="preserve"> </v>
      </c>
      <c r="K37" s="37"/>
      <c r="L37" s="37"/>
      <c r="M37" s="37"/>
      <c r="N37" s="38"/>
      <c r="AF37">
        <f>IF(F37="BTU/hr", E37, IF(F37="tons", E37*12000,0))</f>
        <v>0</v>
      </c>
      <c r="AG37">
        <f>D37</f>
        <v>0</v>
      </c>
      <c r="AH37">
        <f>IF(AF37&lt;=7000,1,IF(AND(AF37&gt;7000,AF37&lt;=15000),2,IF(AND(AF37&gt;15000,AF37&lt;=24000),3,IF(AF37&gt;24000,"Ineligible"))))</f>
        <v>1</v>
      </c>
      <c r="AI37">
        <f>G37</f>
        <v>0</v>
      </c>
      <c r="AJ37">
        <f>H37</f>
        <v>0</v>
      </c>
      <c r="AK37" t="str">
        <f>IF(G37&gt;=VLOOKUP(AH37,$AP$37:$AR$39,2), "Yes","No")</f>
        <v>No</v>
      </c>
      <c r="AL37" t="str">
        <f>IF(H37&gt;=VLOOKUP(AH37,$AP$37:$AR$39,3), "Yes", "No")</f>
        <v>No</v>
      </c>
      <c r="AM37" t="str">
        <f>IF(OR(AK37="No",AL37="No"), "No",IF(AND(AK37="Yes",AL37="Yes"), "Yes","No"))</f>
        <v>No</v>
      </c>
      <c r="AN37">
        <f>IF(OR(AI37=0,AJ37=0),0,IF(AH37="Ineligible","Ineligible",IF(AM37="No","Ineligible",IF(AM37="Yes",100,"Ineligible"))))</f>
        <v>0</v>
      </c>
      <c r="AO37">
        <f>IF(AN37="Ineligible", "Ineligible",AN37*AG37*(AF37/12000))</f>
        <v>0</v>
      </c>
      <c r="AP37">
        <v>1</v>
      </c>
      <c r="AQ37">
        <v>11.1</v>
      </c>
      <c r="AR37">
        <v>3.26</v>
      </c>
    </row>
    <row r="38" spans="1:44" ht="24.95" customHeight="1" x14ac:dyDescent="0.25">
      <c r="A38" s="36"/>
      <c r="B38" s="61"/>
      <c r="C38" s="61"/>
      <c r="D38" s="61"/>
      <c r="E38" s="61"/>
      <c r="F38" s="61"/>
      <c r="G38" s="61"/>
      <c r="H38" s="61"/>
      <c r="I38" s="57" t="str">
        <f t="shared" si="16"/>
        <v xml:space="preserve"> </v>
      </c>
      <c r="J38" s="53" t="str">
        <f t="shared" ref="J38:J41" si="17">IF(AO38=0," ",AO38)</f>
        <v xml:space="preserve"> </v>
      </c>
      <c r="K38" s="37"/>
      <c r="L38" s="37"/>
      <c r="M38" s="37"/>
      <c r="N38" s="38"/>
      <c r="AF38">
        <f t="shared" ref="AF38:AF41" si="18">IF(F38="BTU/hr", E38, IF(F38="tons", E38*12000,0))</f>
        <v>0</v>
      </c>
      <c r="AG38">
        <f t="shared" ref="AG38:AG41" si="19">D38</f>
        <v>0</v>
      </c>
      <c r="AH38">
        <f t="shared" ref="AH38:AH41" si="20">IF(AF38&lt;=7000,1,IF(AND(AF38&gt;7000,AF38&lt;=15000),2,IF(AND(AF38&gt;15000,AF38&lt;=24000),3,IF(AF38&gt;24000,"Ineligible"))))</f>
        <v>1</v>
      </c>
      <c r="AI38">
        <f t="shared" ref="AI38:AI41" si="21">G38</f>
        <v>0</v>
      </c>
      <c r="AJ38">
        <f t="shared" ref="AJ38:AJ41" si="22">H38</f>
        <v>0</v>
      </c>
      <c r="AK38" t="str">
        <f>IF(G38&gt;VLOOKUP(AH38,$AP$37:$AR$39,2), "Yes","No")</f>
        <v>No</v>
      </c>
      <c r="AL38" t="str">
        <f>IF(H38&gt;VLOOKUP(AH38,$AP$37:$AR$39,3), "Yes", "No")</f>
        <v>No</v>
      </c>
      <c r="AM38" t="str">
        <f t="shared" ref="AM38:AM41" si="23">IF(OR(AK38="No",AL38="No"), "No",IF(AND(AK38="Yes",AL38="Yes"), "Yes","No"))</f>
        <v>No</v>
      </c>
      <c r="AN38">
        <f t="shared" ref="AN38:AN41" si="24">IF(OR(AI38=0,AJ38=0),0,IF(AH38="Ineligible","Ineligible",IF(AM38="No","Ineligible",IF(AM38="Yes",100,"Ineligible"))))</f>
        <v>0</v>
      </c>
      <c r="AO38">
        <f>IF(AN38="Ineligible", "Ineligible",AN38*AG38*(AF38/12000))</f>
        <v>0</v>
      </c>
      <c r="AP38">
        <v>2</v>
      </c>
      <c r="AQ38">
        <v>10.1</v>
      </c>
      <c r="AR38">
        <v>3.13</v>
      </c>
    </row>
    <row r="39" spans="1:44" ht="24.95" customHeight="1" x14ac:dyDescent="0.25">
      <c r="A39" s="36"/>
      <c r="B39" s="61"/>
      <c r="C39" s="61"/>
      <c r="D39" s="61"/>
      <c r="E39" s="64"/>
      <c r="F39" s="61"/>
      <c r="G39" s="61"/>
      <c r="H39" s="61"/>
      <c r="I39" s="57" t="str">
        <f t="shared" si="16"/>
        <v xml:space="preserve"> </v>
      </c>
      <c r="J39" s="53" t="str">
        <f t="shared" si="17"/>
        <v xml:space="preserve"> </v>
      </c>
      <c r="K39" s="37"/>
      <c r="L39" s="37"/>
      <c r="M39" s="37"/>
      <c r="N39" s="38"/>
      <c r="AF39">
        <f t="shared" si="18"/>
        <v>0</v>
      </c>
      <c r="AG39">
        <f t="shared" si="19"/>
        <v>0</v>
      </c>
      <c r="AH39">
        <f t="shared" si="20"/>
        <v>1</v>
      </c>
      <c r="AI39">
        <f t="shared" si="21"/>
        <v>0</v>
      </c>
      <c r="AJ39">
        <f t="shared" si="22"/>
        <v>0</v>
      </c>
      <c r="AK39" t="str">
        <f>IF(G39&gt;VLOOKUP(AH39,$AP$37:$AR$39,2), "Yes","No")</f>
        <v>No</v>
      </c>
      <c r="AL39" t="str">
        <f>IF(H39&gt;VLOOKUP(AH39,$AP$37:$AR$39,3), "Yes", "No")</f>
        <v>No</v>
      </c>
      <c r="AM39" t="str">
        <f t="shared" si="23"/>
        <v>No</v>
      </c>
      <c r="AN39">
        <f t="shared" si="24"/>
        <v>0</v>
      </c>
      <c r="AO39">
        <f>IF(AN39="Ineligible", "Ineligible",AN39*AG39*(AF39/12000))</f>
        <v>0</v>
      </c>
      <c r="AP39">
        <v>3</v>
      </c>
      <c r="AQ39">
        <v>9.1</v>
      </c>
      <c r="AR39">
        <v>3.01</v>
      </c>
    </row>
    <row r="40" spans="1:44" ht="24.95" customHeight="1" x14ac:dyDescent="0.25">
      <c r="A40" s="36"/>
      <c r="B40" s="61"/>
      <c r="C40" s="61"/>
      <c r="D40" s="61"/>
      <c r="E40" s="64"/>
      <c r="F40" s="61"/>
      <c r="G40" s="61"/>
      <c r="H40" s="61"/>
      <c r="I40" s="57" t="str">
        <f t="shared" si="16"/>
        <v xml:space="preserve"> </v>
      </c>
      <c r="J40" s="53" t="str">
        <f t="shared" si="17"/>
        <v xml:space="preserve"> </v>
      </c>
      <c r="K40" s="37"/>
      <c r="L40" s="37"/>
      <c r="M40" s="37"/>
      <c r="N40" s="38"/>
      <c r="AF40">
        <f t="shared" si="18"/>
        <v>0</v>
      </c>
      <c r="AG40">
        <f t="shared" si="19"/>
        <v>0</v>
      </c>
      <c r="AH40">
        <f t="shared" si="20"/>
        <v>1</v>
      </c>
      <c r="AI40">
        <f t="shared" si="21"/>
        <v>0</v>
      </c>
      <c r="AJ40">
        <f t="shared" si="22"/>
        <v>0</v>
      </c>
      <c r="AK40" t="str">
        <f>IF(G40&gt;VLOOKUP(AH40,$AP$37:$AR$39,2), "Yes","No")</f>
        <v>No</v>
      </c>
      <c r="AL40" t="str">
        <f>IF(H40&gt;VLOOKUP(AH40,$AP$37:$AR$39,3), "Yes", "No")</f>
        <v>No</v>
      </c>
      <c r="AM40" t="str">
        <f t="shared" si="23"/>
        <v>No</v>
      </c>
      <c r="AN40">
        <f t="shared" si="24"/>
        <v>0</v>
      </c>
      <c r="AO40">
        <f>IF(AN40="Ineligible", "Ineligible",AN40*AG40*(AF40/12000))</f>
        <v>0</v>
      </c>
    </row>
    <row r="41" spans="1:44" ht="24.95" customHeight="1" thickBot="1" x14ac:dyDescent="0.3">
      <c r="A41" s="36"/>
      <c r="B41" s="67"/>
      <c r="C41" s="67"/>
      <c r="D41" s="67"/>
      <c r="E41" s="68"/>
      <c r="F41" s="67"/>
      <c r="G41" s="67"/>
      <c r="H41" s="67"/>
      <c r="I41" s="69" t="str">
        <f t="shared" si="16"/>
        <v xml:space="preserve"> </v>
      </c>
      <c r="J41" s="70" t="str">
        <f t="shared" si="17"/>
        <v xml:space="preserve"> </v>
      </c>
      <c r="K41" s="37"/>
      <c r="L41" s="37"/>
      <c r="M41" s="37"/>
      <c r="N41" s="38"/>
      <c r="AF41">
        <f t="shared" si="18"/>
        <v>0</v>
      </c>
      <c r="AG41">
        <f t="shared" si="19"/>
        <v>0</v>
      </c>
      <c r="AH41">
        <f t="shared" si="20"/>
        <v>1</v>
      </c>
      <c r="AI41">
        <f t="shared" si="21"/>
        <v>0</v>
      </c>
      <c r="AJ41">
        <f t="shared" si="22"/>
        <v>0</v>
      </c>
      <c r="AK41" t="str">
        <f>IF(G41&gt;VLOOKUP(AH41,$AP$37:$AR$39,2), "Yes","No")</f>
        <v>No</v>
      </c>
      <c r="AL41" t="str">
        <f>IF(H41&gt;VLOOKUP(AH41,$AP$37:$AR$39,3), "Yes", "No")</f>
        <v>No</v>
      </c>
      <c r="AM41" t="str">
        <f t="shared" si="23"/>
        <v>No</v>
      </c>
      <c r="AN41">
        <f t="shared" si="24"/>
        <v>0</v>
      </c>
      <c r="AO41">
        <f>IF(AN41="Ineligible", "Ineligible",AN41*AG41*(AF41/12000))</f>
        <v>0</v>
      </c>
    </row>
    <row r="42" spans="1:44" ht="15.75" thickTop="1" x14ac:dyDescent="0.25">
      <c r="A42" s="36"/>
      <c r="B42" s="42"/>
      <c r="C42" s="42"/>
      <c r="D42" s="42"/>
      <c r="E42" s="42"/>
      <c r="F42" s="42"/>
      <c r="G42" s="42"/>
      <c r="H42" s="42"/>
      <c r="I42" s="74" t="str">
        <f t="shared" si="16"/>
        <v xml:space="preserve"> </v>
      </c>
      <c r="J42" s="72" t="str">
        <f>IF(SUM(J37:J41)=0," ",SUM(J37:J41))</f>
        <v xml:space="preserve"> </v>
      </c>
      <c r="K42" s="37"/>
      <c r="L42" s="37"/>
      <c r="M42" s="37"/>
      <c r="N42" s="38"/>
    </row>
    <row r="43" spans="1:44" ht="22.5" customHeight="1" thickBot="1" x14ac:dyDescent="0.3">
      <c r="A43" s="39"/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1"/>
    </row>
    <row r="46" spans="1:44" x14ac:dyDescent="0.25">
      <c r="B46" s="97" t="s">
        <v>21</v>
      </c>
      <c r="C46" s="97"/>
      <c r="D46" s="97"/>
      <c r="E46" s="97"/>
      <c r="F46" s="97"/>
      <c r="G46" s="97"/>
    </row>
    <row r="47" spans="1:44" x14ac:dyDescent="0.25">
      <c r="B47" s="98" t="s">
        <v>22</v>
      </c>
      <c r="C47" s="98"/>
      <c r="D47" s="98"/>
      <c r="E47" s="98"/>
      <c r="F47" s="98"/>
      <c r="G47" s="98"/>
    </row>
    <row r="48" spans="1:44" ht="15.75" customHeight="1" x14ac:dyDescent="0.25">
      <c r="B48" s="99" t="s">
        <v>72</v>
      </c>
      <c r="C48" s="47" t="s">
        <v>73</v>
      </c>
      <c r="D48" s="24">
        <v>15</v>
      </c>
      <c r="E48" s="25">
        <v>16</v>
      </c>
      <c r="F48" s="25">
        <v>17</v>
      </c>
      <c r="G48" s="24">
        <v>18</v>
      </c>
    </row>
    <row r="49" spans="2:7" ht="27" customHeight="1" thickBot="1" x14ac:dyDescent="0.3">
      <c r="B49" s="100"/>
      <c r="C49" s="48" t="s">
        <v>27</v>
      </c>
      <c r="D49" s="49" t="s">
        <v>74</v>
      </c>
      <c r="E49" s="50" t="s">
        <v>75</v>
      </c>
      <c r="F49" s="50" t="s">
        <v>76</v>
      </c>
      <c r="G49" s="49" t="s">
        <v>77</v>
      </c>
    </row>
    <row r="50" spans="2:7" ht="16.5" customHeight="1" thickTop="1" x14ac:dyDescent="0.25">
      <c r="B50" s="101" t="s">
        <v>78</v>
      </c>
      <c r="C50" s="51" t="s">
        <v>79</v>
      </c>
      <c r="D50" s="101" t="s">
        <v>80</v>
      </c>
      <c r="E50" s="101"/>
      <c r="F50" s="101"/>
      <c r="G50" s="101"/>
    </row>
    <row r="51" spans="2:7" ht="25.5" customHeight="1" thickBot="1" x14ac:dyDescent="0.3">
      <c r="B51" s="100"/>
      <c r="C51" s="48" t="s">
        <v>27</v>
      </c>
      <c r="D51" s="100" t="s">
        <v>74</v>
      </c>
      <c r="E51" s="100"/>
      <c r="F51" s="100"/>
      <c r="G51" s="100"/>
    </row>
    <row r="52" spans="2:7" ht="22.5" customHeight="1" thickTop="1" x14ac:dyDescent="0.25">
      <c r="B52" s="101" t="s">
        <v>81</v>
      </c>
      <c r="C52" s="51" t="s">
        <v>79</v>
      </c>
      <c r="D52" s="101" t="s">
        <v>82</v>
      </c>
      <c r="E52" s="101"/>
      <c r="F52" s="101"/>
      <c r="G52" s="101"/>
    </row>
    <row r="53" spans="2:7" ht="15.75" thickBot="1" x14ac:dyDescent="0.3">
      <c r="B53" s="100"/>
      <c r="C53" s="48" t="s">
        <v>27</v>
      </c>
      <c r="D53" s="100" t="s">
        <v>74</v>
      </c>
      <c r="E53" s="100"/>
      <c r="F53" s="100"/>
      <c r="G53" s="100"/>
    </row>
    <row r="54" spans="2:7" ht="22.5" customHeight="1" thickTop="1" x14ac:dyDescent="0.25">
      <c r="B54" s="101" t="s">
        <v>83</v>
      </c>
      <c r="C54" s="51" t="s">
        <v>79</v>
      </c>
      <c r="D54" s="101" t="s">
        <v>84</v>
      </c>
      <c r="E54" s="101"/>
      <c r="F54" s="102" t="s">
        <v>85</v>
      </c>
      <c r="G54" s="102"/>
    </row>
    <row r="55" spans="2:7" ht="15.75" thickBot="1" x14ac:dyDescent="0.3">
      <c r="B55" s="100"/>
      <c r="C55" s="48" t="s">
        <v>27</v>
      </c>
      <c r="D55" s="100" t="s">
        <v>74</v>
      </c>
      <c r="E55" s="100"/>
      <c r="F55" s="103" t="s">
        <v>39</v>
      </c>
      <c r="G55" s="103"/>
    </row>
    <row r="56" spans="2:7" ht="15.75" thickTop="1" x14ac:dyDescent="0.25"/>
    <row r="57" spans="2:7" ht="15.75" customHeight="1" x14ac:dyDescent="0.25">
      <c r="B57" s="98" t="s">
        <v>35</v>
      </c>
      <c r="C57" s="98"/>
      <c r="D57" s="88" t="s">
        <v>86</v>
      </c>
      <c r="E57" s="88"/>
      <c r="F57" s="88" t="s">
        <v>27</v>
      </c>
      <c r="G57" s="88"/>
    </row>
    <row r="58" spans="2:7" ht="15.75" customHeight="1" x14ac:dyDescent="0.25">
      <c r="B58" s="104" t="s">
        <v>37</v>
      </c>
      <c r="C58" s="104"/>
      <c r="D58" s="99" t="s">
        <v>87</v>
      </c>
      <c r="E58" s="99"/>
      <c r="F58" s="99" t="s">
        <v>39</v>
      </c>
      <c r="G58" s="99"/>
    </row>
    <row r="59" spans="2:7" x14ac:dyDescent="0.25">
      <c r="B59" s="104" t="s">
        <v>88</v>
      </c>
      <c r="C59" s="104"/>
      <c r="D59" s="99" t="s">
        <v>89</v>
      </c>
      <c r="E59" s="99"/>
      <c r="F59" s="99" t="s">
        <v>39</v>
      </c>
      <c r="G59" s="99"/>
    </row>
    <row r="60" spans="2:7" x14ac:dyDescent="0.25">
      <c r="B60" s="104" t="s">
        <v>90</v>
      </c>
      <c r="C60" s="104"/>
      <c r="D60" s="99" t="s">
        <v>91</v>
      </c>
      <c r="E60" s="99"/>
      <c r="F60" s="99" t="s">
        <v>39</v>
      </c>
      <c r="G60" s="99"/>
    </row>
  </sheetData>
  <sheetProtection algorithmName="SHA-512" hashValue="t0bcRAkXzosgelVEGLB5v5MDQdgeO1g0Z3oJOSla6HfAuIjgrw/EGP8Njs2ttHOHWDxUcejkLQ1pbGKiCgZ7uQ==" saltValue="fNaCZygeTGQ4oRDqDO4/XQ==" spinCount="100000" sheet="1" objects="1" scenarios="1" selectLockedCells="1"/>
  <mergeCells count="26">
    <mergeCell ref="B59:C59"/>
    <mergeCell ref="D59:E59"/>
    <mergeCell ref="F59:G59"/>
    <mergeCell ref="B60:C60"/>
    <mergeCell ref="D60:E60"/>
    <mergeCell ref="F60:G60"/>
    <mergeCell ref="B57:C57"/>
    <mergeCell ref="D57:E57"/>
    <mergeCell ref="F57:G57"/>
    <mergeCell ref="B58:C58"/>
    <mergeCell ref="D58:E58"/>
    <mergeCell ref="F58:G58"/>
    <mergeCell ref="B52:B53"/>
    <mergeCell ref="D52:G52"/>
    <mergeCell ref="D53:G53"/>
    <mergeCell ref="B54:B55"/>
    <mergeCell ref="D54:E54"/>
    <mergeCell ref="F54:G54"/>
    <mergeCell ref="D55:E55"/>
    <mergeCell ref="F55:G55"/>
    <mergeCell ref="B46:G46"/>
    <mergeCell ref="B47:G47"/>
    <mergeCell ref="B48:B49"/>
    <mergeCell ref="B50:B51"/>
    <mergeCell ref="D50:G50"/>
    <mergeCell ref="D51:G51"/>
  </mergeCells>
  <dataValidations count="1">
    <dataValidation type="list" allowBlank="1" showInputMessage="1" showErrorMessage="1" sqref="F17:F21 F27:F31 F37:F41" xr:uid="{59DEAC4A-E166-466E-9CEE-8E27C73E79F2}">
      <formula1>"tons, BTU/hr"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20</vt:i4>
      </vt:variant>
    </vt:vector>
  </HeadingPairs>
  <TitlesOfParts>
    <vt:vector size="22" baseType="lpstr">
      <vt:lpstr>HVAC</vt:lpstr>
      <vt:lpstr>Heat Pump</vt:lpstr>
      <vt:lpstr>'Heat Pump'!_Hlk135040923</vt:lpstr>
      <vt:lpstr>Five_EER</vt:lpstr>
      <vt:lpstr>Five_EER_Rebate</vt:lpstr>
      <vt:lpstr>Four_EER</vt:lpstr>
      <vt:lpstr>Four_EER_Rebate</vt:lpstr>
      <vt:lpstr>One_COP</vt:lpstr>
      <vt:lpstr>One_EER_HP</vt:lpstr>
      <vt:lpstr>One_Rebate</vt:lpstr>
      <vt:lpstr>One_SEER</vt:lpstr>
      <vt:lpstr>One_SEER_Rebate</vt:lpstr>
      <vt:lpstr>Three_COP</vt:lpstr>
      <vt:lpstr>Three_EER</vt:lpstr>
      <vt:lpstr>Three_EER_HP</vt:lpstr>
      <vt:lpstr>Three_EER_Rebate</vt:lpstr>
      <vt:lpstr>Three_Rebate</vt:lpstr>
      <vt:lpstr>Two_COP</vt:lpstr>
      <vt:lpstr>Two_EER</vt:lpstr>
      <vt:lpstr>Two_EER_HP</vt:lpstr>
      <vt:lpstr>Two_EER_Rebate</vt:lpstr>
      <vt:lpstr>Two_Rebate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Parekh, Jesal</dc:creator>
  <cp:lastModifiedBy>Gard, Mathew</cp:lastModifiedBy>
  <dcterms:created xsi:type="dcterms:W3CDTF">2023-05-31T21:41:55Z</dcterms:created>
  <dcterms:modified xsi:type="dcterms:W3CDTF">2023-06-05T22:11:12Z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c84fa2-b2bb-403e-b8d4-2e71c559e792_Enabled">
    <vt:lpwstr>true</vt:lpwstr>
  </property>
  <property fmtid="{D5CDD505-2E9C-101B-9397-08002B2CF9AE}" pid="3" name="MSIP_Label_57c84fa2-b2bb-403e-b8d4-2e71c559e792_SetDate">
    <vt:lpwstr>2023-06-05T18:53:52Z</vt:lpwstr>
  </property>
  <property fmtid="{D5CDD505-2E9C-101B-9397-08002B2CF9AE}" pid="4" name="MSIP_Label_57c84fa2-b2bb-403e-b8d4-2e71c559e792_Method">
    <vt:lpwstr>Privileged</vt:lpwstr>
  </property>
  <property fmtid="{D5CDD505-2E9C-101B-9397-08002B2CF9AE}" pid="5" name="MSIP_Label_57c84fa2-b2bb-403e-b8d4-2e71c559e792_Name">
    <vt:lpwstr>DNV_Open</vt:lpwstr>
  </property>
  <property fmtid="{D5CDD505-2E9C-101B-9397-08002B2CF9AE}" pid="6" name="MSIP_Label_57c84fa2-b2bb-403e-b8d4-2e71c559e792_SiteId">
    <vt:lpwstr>adf10e2b-b6e9-41d6-be2f-c12bb566019c</vt:lpwstr>
  </property>
  <property fmtid="{D5CDD505-2E9C-101B-9397-08002B2CF9AE}" pid="7" name="MSIP_Label_57c84fa2-b2bb-403e-b8d4-2e71c559e792_ActionId">
    <vt:lpwstr>64a4dd89-7271-447d-814d-12bb7576f7dd</vt:lpwstr>
  </property>
  <property fmtid="{D5CDD505-2E9C-101B-9397-08002B2CF9AE}" pid="8" name="MSIP_Label_57c84fa2-b2bb-403e-b8d4-2e71c559e792_ContentBits">
    <vt:lpwstr>0</vt:lpwstr>
  </property>
</Properties>
</file>