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mc:AlternateContent xmlns:mc="http://schemas.openxmlformats.org/markup-compatibility/2006">
    <mc:Choice Requires="x15">
      <x15ac:absPath xmlns:x15ac="http://schemas.microsoft.com/office/spreadsheetml/2010/11/ac" url="C:\Users\dreynolds\Dropbox\Projects\SVP 2017 Contract Extension\Rebate calculators\"/>
    </mc:Choice>
  </mc:AlternateContent>
  <workbookProtection workbookAlgorithmName="SHA-512" workbookHashValue="c9COhbxVqEKxNwNEPwV++3o21Cc0lje+GUah35C91C1uLH8N8GSxrytcLS58CVGHR82mJl8gY4qYhIJxCAsiFw==" workbookSaltValue="p9uF77rnbuqeoJtNbReL8Q==" workbookSpinCount="100000" lockStructure="1"/>
  <bookViews>
    <workbookView xWindow="2370" yWindow="2595" windowWidth="14610" windowHeight="3705" tabRatio="750" firstSheet="1" activeTab="1"/>
  </bookViews>
  <sheets>
    <sheet name="Calculator Instructions" sheetId="9" state="hidden" r:id="rId1"/>
    <sheet name="SVP HVAC Fan VSD Savings Calc" sheetId="13" r:id="rId2"/>
    <sheet name="Results Summary" sheetId="14" r:id="rId3"/>
    <sheet name="Fan Analysis" sheetId="1" state="hidden" r:id="rId4"/>
    <sheet name="Pump Analysis" sheetId="10" state="hidden" r:id="rId5"/>
    <sheet name="Throttling Valve Analysis" sheetId="11" state="hidden" r:id="rId6"/>
    <sheet name="Lookup Tables" sheetId="2" state="hidden" r:id="rId7"/>
    <sheet name="Pump Curves" sheetId="4" state="hidden" r:id="rId8"/>
    <sheet name="Fan Curves" sheetId="5" state="hidden" r:id="rId9"/>
    <sheet name="VFD Load Curves" sheetId="6" state="hidden" r:id="rId10"/>
    <sheet name="Throttling valve curves" sheetId="8" state="hidden" r:id="rId11"/>
  </sheets>
  <definedNames>
    <definedName name="Fan_Control">'Lookup Tables'!$B$3:$B$10</definedName>
    <definedName name="Fan_Curves">'Fan Curves'!$B$5:$J$15</definedName>
    <definedName name="FanRebate">'Fan Analysis'!$F$54</definedName>
    <definedName name="Flow_Control">'Lookup Tables'!$K$3:$K$4</definedName>
    <definedName name="Load_Curves">'Lookup Tables'!$H$3:$H$7</definedName>
    <definedName name="Motor_eff">'Fan Analysis'!$B$55:$D$85</definedName>
    <definedName name="_xlnm.Print_Area" localSheetId="3">'Fan Analysis'!$B$3:$T$41</definedName>
    <definedName name="_xlnm.Print_Area" localSheetId="4">'Pump Analysis'!$B$2:$T$40</definedName>
    <definedName name="_xlnm.Print_Area" localSheetId="2">'Results Summary'!$A$1:$G$47</definedName>
    <definedName name="_xlnm.Print_Area" localSheetId="1">'SVP HVAC Fan VSD Savings Calc'!#REF!</definedName>
    <definedName name="Pump_Control">'Lookup Tables'!$E$3:$E$7</definedName>
    <definedName name="Pump_Curves">'Pump Curves'!$B$5:$G$15</definedName>
  </definedNames>
  <calcPr calcId="171027"/>
</workbook>
</file>

<file path=xl/calcChain.xml><?xml version="1.0" encoding="utf-8"?>
<calcChain xmlns="http://schemas.openxmlformats.org/spreadsheetml/2006/main">
  <c r="G2" i="14" l="1"/>
  <c r="B1" i="1" l="1"/>
  <c r="F4" i="1" l="1"/>
  <c r="F5" i="1" l="1"/>
  <c r="F13" i="1" l="1"/>
  <c r="D31" i="1" l="1"/>
  <c r="D32" i="1"/>
  <c r="D33" i="1"/>
  <c r="D34" i="1"/>
  <c r="D35" i="1"/>
  <c r="D36" i="1"/>
  <c r="D37" i="1"/>
  <c r="D38" i="1"/>
  <c r="D39" i="1"/>
  <c r="D40" i="1"/>
  <c r="D30" i="1"/>
  <c r="B26" i="1"/>
  <c r="C60" i="13"/>
  <c r="D17" i="13"/>
  <c r="C17" i="13"/>
  <c r="F6" i="1" l="1"/>
  <c r="F8" i="1" s="1"/>
  <c r="F15" i="6" l="1"/>
  <c r="E4" i="4" l="1"/>
  <c r="F4" i="4"/>
  <c r="V10" i="10" l="1"/>
  <c r="V9" i="10"/>
  <c r="V12" i="1"/>
  <c r="V11" i="1"/>
  <c r="M12" i="11" l="1"/>
  <c r="J24" i="11"/>
  <c r="J22" i="11"/>
  <c r="L12" i="11" s="1"/>
  <c r="N12" i="11" s="1"/>
  <c r="O12" i="11" s="1"/>
  <c r="J18" i="11"/>
  <c r="B34" i="11"/>
  <c r="B31" i="11"/>
  <c r="F7" i="11"/>
  <c r="J18" i="10"/>
  <c r="J16" i="10"/>
  <c r="F7" i="10"/>
  <c r="B49" i="10"/>
  <c r="B46" i="10"/>
  <c r="D40" i="10"/>
  <c r="B27" i="10"/>
  <c r="Q21" i="10" l="1"/>
  <c r="R21" i="10" s="1"/>
  <c r="Q19" i="10"/>
  <c r="Q17" i="10"/>
  <c r="R17" i="10" s="1"/>
  <c r="Q15" i="10"/>
  <c r="R15" i="10" s="1"/>
  <c r="Q13" i="10"/>
  <c r="Q22" i="10"/>
  <c r="R22" i="10" s="1"/>
  <c r="Q20" i="10"/>
  <c r="R20" i="10" s="1"/>
  <c r="Q18" i="10"/>
  <c r="R18" i="10" s="1"/>
  <c r="Q16" i="10"/>
  <c r="R16" i="10" s="1"/>
  <c r="Q14" i="10"/>
  <c r="R14" i="10" s="1"/>
  <c r="Q12" i="10"/>
  <c r="N20" i="10"/>
  <c r="N18" i="10"/>
  <c r="O18" i="10" s="1"/>
  <c r="N16" i="10"/>
  <c r="O16" i="10" s="1"/>
  <c r="N14" i="10"/>
  <c r="O14" i="10" s="1"/>
  <c r="N12" i="10"/>
  <c r="O12" i="10" s="1"/>
  <c r="N21" i="10"/>
  <c r="O21" i="10" s="1"/>
  <c r="N19" i="10"/>
  <c r="O19" i="10" s="1"/>
  <c r="N17" i="10"/>
  <c r="O17" i="10" s="1"/>
  <c r="N15" i="10"/>
  <c r="N13" i="10"/>
  <c r="O13" i="10" s="1"/>
  <c r="N22" i="10"/>
  <c r="O22" i="10" s="1"/>
  <c r="Q12" i="11"/>
  <c r="R12" i="11" s="1"/>
  <c r="R13" i="10"/>
  <c r="R19" i="10"/>
  <c r="O15" i="10"/>
  <c r="O20" i="10"/>
  <c r="B47" i="1"/>
  <c r="P12" i="11" l="1"/>
  <c r="M13" i="11"/>
  <c r="S12" i="11"/>
  <c r="S13" i="11" s="1"/>
  <c r="B50" i="1"/>
  <c r="P13" i="11" l="1"/>
  <c r="T12" i="11"/>
  <c r="T13" i="11" s="1"/>
  <c r="N5" i="11" s="1"/>
  <c r="H3" i="2"/>
  <c r="B28" i="1"/>
  <c r="F25" i="10" l="1"/>
  <c r="F26" i="1"/>
  <c r="N6" i="11"/>
  <c r="C29" i="10" l="1"/>
  <c r="F30" i="10"/>
  <c r="F34" i="10"/>
  <c r="F38" i="10"/>
  <c r="F36" i="10"/>
  <c r="F31" i="10"/>
  <c r="F35" i="10"/>
  <c r="F39" i="10"/>
  <c r="F32" i="10"/>
  <c r="F29" i="10"/>
  <c r="M12" i="10" s="1"/>
  <c r="F33" i="10"/>
  <c r="F37" i="10"/>
  <c r="C38" i="10"/>
  <c r="M21" i="10" s="1"/>
  <c r="P21" i="10" s="1"/>
  <c r="C39" i="10"/>
  <c r="M22" i="10" s="1"/>
  <c r="P22" i="10" s="1"/>
  <c r="C30" i="10"/>
  <c r="M13" i="10" s="1"/>
  <c r="S13" i="10" s="1"/>
  <c r="C34" i="10"/>
  <c r="C32" i="10"/>
  <c r="M15" i="10" s="1"/>
  <c r="C36" i="10"/>
  <c r="M19" i="10" s="1"/>
  <c r="P19" i="10" s="1"/>
  <c r="C33" i="10"/>
  <c r="M16" i="10" s="1"/>
  <c r="S16" i="10" s="1"/>
  <c r="C31" i="10"/>
  <c r="C37" i="10"/>
  <c r="M20" i="10" s="1"/>
  <c r="S20" i="10" s="1"/>
  <c r="C35" i="10"/>
  <c r="J17" i="1"/>
  <c r="M14" i="10" l="1"/>
  <c r="P14" i="10" s="1"/>
  <c r="M17" i="10"/>
  <c r="P17" i="10" s="1"/>
  <c r="M18" i="10"/>
  <c r="S18" i="10" s="1"/>
  <c r="S14" i="10"/>
  <c r="T14" i="10" s="1"/>
  <c r="P20" i="10"/>
  <c r="T20" i="10" s="1"/>
  <c r="S17" i="10"/>
  <c r="T17" i="10" s="1"/>
  <c r="S22" i="10"/>
  <c r="T22" i="10" s="1"/>
  <c r="S19" i="10"/>
  <c r="S21" i="10"/>
  <c r="T21" i="10" s="1"/>
  <c r="P15" i="10"/>
  <c r="S15" i="10"/>
  <c r="P13" i="10"/>
  <c r="T13" i="10" s="1"/>
  <c r="P16" i="10"/>
  <c r="T16" i="10" s="1"/>
  <c r="C40" i="10"/>
  <c r="T19" i="10"/>
  <c r="P12" i="10"/>
  <c r="M23" i="10"/>
  <c r="N14" i="1"/>
  <c r="O14" i="1" s="1"/>
  <c r="N16" i="1"/>
  <c r="O16" i="1" s="1"/>
  <c r="N18" i="1"/>
  <c r="O18" i="1" s="1"/>
  <c r="N20" i="1"/>
  <c r="O20" i="1" s="1"/>
  <c r="N22" i="1"/>
  <c r="O22" i="1" s="1"/>
  <c r="N13" i="1"/>
  <c r="O13" i="1" s="1"/>
  <c r="N15" i="1"/>
  <c r="O15" i="1" s="1"/>
  <c r="N17" i="1"/>
  <c r="O17" i="1" s="1"/>
  <c r="N19" i="1"/>
  <c r="O19" i="1" s="1"/>
  <c r="N21" i="1"/>
  <c r="O21" i="1" s="1"/>
  <c r="N23" i="1"/>
  <c r="O23" i="1" s="1"/>
  <c r="T15" i="10" l="1"/>
  <c r="P18" i="10"/>
  <c r="T18" i="10" s="1"/>
  <c r="P23" i="10"/>
  <c r="D41" i="1"/>
  <c r="E15" i="6"/>
  <c r="D15" i="6"/>
  <c r="C15" i="6"/>
  <c r="J19" i="1"/>
  <c r="R12" i="10"/>
  <c r="S12" i="10" s="1"/>
  <c r="S23" i="10" l="1"/>
  <c r="T12" i="10"/>
  <c r="T23" i="10" s="1"/>
  <c r="N5" i="10" s="1"/>
  <c r="N6" i="10" s="1"/>
  <c r="C31" i="1"/>
  <c r="F31" i="1" s="1"/>
  <c r="C33" i="1"/>
  <c r="F33" i="1" s="1"/>
  <c r="C35" i="1"/>
  <c r="F35" i="1" s="1"/>
  <c r="C37" i="1"/>
  <c r="F37" i="1" s="1"/>
  <c r="C39" i="1"/>
  <c r="F39" i="1" s="1"/>
  <c r="C30" i="1"/>
  <c r="F30" i="1" s="1"/>
  <c r="C32" i="1"/>
  <c r="F32" i="1" s="1"/>
  <c r="C34" i="1"/>
  <c r="F34" i="1" s="1"/>
  <c r="C36" i="1"/>
  <c r="F36" i="1" s="1"/>
  <c r="C38" i="1"/>
  <c r="F38" i="1" s="1"/>
  <c r="C40" i="1"/>
  <c r="F40" i="1" s="1"/>
  <c r="Q14" i="1"/>
  <c r="R14" i="1" s="1"/>
  <c r="Q16" i="1"/>
  <c r="R16" i="1" s="1"/>
  <c r="Q18" i="1"/>
  <c r="R18" i="1" s="1"/>
  <c r="Q20" i="1"/>
  <c r="R20" i="1" s="1"/>
  <c r="Q22" i="1"/>
  <c r="R22" i="1" s="1"/>
  <c r="Q23" i="1"/>
  <c r="R23" i="1" s="1"/>
  <c r="Q15" i="1"/>
  <c r="R15" i="1" s="1"/>
  <c r="Q17" i="1"/>
  <c r="R17" i="1" s="1"/>
  <c r="Q19" i="1"/>
  <c r="R19" i="1" s="1"/>
  <c r="Q21" i="1"/>
  <c r="R21" i="1" s="1"/>
  <c r="Q13" i="1"/>
  <c r="R13" i="1" s="1"/>
  <c r="N7" i="10" l="1"/>
  <c r="M20" i="1"/>
  <c r="P20" i="1" s="1"/>
  <c r="M19" i="1"/>
  <c r="P19" i="1" s="1"/>
  <c r="M17" i="1"/>
  <c r="P17" i="1" s="1"/>
  <c r="M14" i="1"/>
  <c r="P14" i="1" s="1"/>
  <c r="M22" i="1"/>
  <c r="P22" i="1" s="1"/>
  <c r="M15" i="1"/>
  <c r="P15" i="1" s="1"/>
  <c r="M23" i="1"/>
  <c r="P23" i="1" s="1"/>
  <c r="M21" i="1"/>
  <c r="P21" i="1" s="1"/>
  <c r="M18" i="1"/>
  <c r="P18" i="1" s="1"/>
  <c r="M13" i="1"/>
  <c r="M16" i="1"/>
  <c r="P16" i="1" s="1"/>
  <c r="C41" i="1"/>
  <c r="S22" i="1" l="1"/>
  <c r="T22" i="1" s="1"/>
  <c r="S20" i="1"/>
  <c r="T20" i="1" s="1"/>
  <c r="S14" i="1"/>
  <c r="T14" i="1" s="1"/>
  <c r="S19" i="1"/>
  <c r="T19" i="1" s="1"/>
  <c r="S17" i="1"/>
  <c r="T17" i="1" s="1"/>
  <c r="M24" i="1"/>
  <c r="P13" i="1"/>
  <c r="S18" i="1"/>
  <c r="T18" i="1" s="1"/>
  <c r="S15" i="1"/>
  <c r="T15" i="1" s="1"/>
  <c r="S13" i="1"/>
  <c r="S16" i="1"/>
  <c r="T16" i="1" s="1"/>
  <c r="S23" i="1"/>
  <c r="T23" i="1" s="1"/>
  <c r="S21" i="1"/>
  <c r="T21" i="1" s="1"/>
  <c r="S24" i="1" l="1"/>
  <c r="T13" i="1"/>
  <c r="T24" i="1" s="1"/>
  <c r="N6" i="1" s="1"/>
  <c r="C27" i="13" s="1"/>
  <c r="C28" i="13" s="1"/>
  <c r="P24" i="1"/>
  <c r="N8" i="1" l="1"/>
  <c r="N7" i="1"/>
</calcChain>
</file>

<file path=xl/sharedStrings.xml><?xml version="1.0" encoding="utf-8"?>
<sst xmlns="http://schemas.openxmlformats.org/spreadsheetml/2006/main" count="390" uniqueCount="209">
  <si>
    <t>hrs/yr</t>
  </si>
  <si>
    <t>Inlet Guide Vane, FC Fans</t>
  </si>
  <si>
    <t>Outlet Damper, FC Fans</t>
  </si>
  <si>
    <t>Inlet Guide Vane, BI &amp; Airfoil Fans</t>
  </si>
  <si>
    <t>Outlet Damper, BI &amp; Airfoil Fans</t>
  </si>
  <si>
    <t>Inlet Damper Box</t>
  </si>
  <si>
    <t xml:space="preserve">Eddy Current Drives </t>
  </si>
  <si>
    <t>hp</t>
  </si>
  <si>
    <t>%</t>
  </si>
  <si>
    <t>Fan System Type</t>
  </si>
  <si>
    <t>Pump System Types</t>
  </si>
  <si>
    <t>% Capacity</t>
  </si>
  <si>
    <t xml:space="preserve">Eddy Current </t>
  </si>
  <si>
    <t>VSD</t>
  </si>
  <si>
    <t>Throttle Valve</t>
  </si>
  <si>
    <t>% Design Pump Power (kW)</t>
  </si>
  <si>
    <t>% Capacity (GPM)</t>
  </si>
  <si>
    <t>Pump Control Method Selection</t>
  </si>
  <si>
    <t>% Design Fan Power (kW)</t>
  </si>
  <si>
    <t>% Capacity (CFM)</t>
  </si>
  <si>
    <t>Inlet Guide Vane Control  Forward Curve Fans</t>
  </si>
  <si>
    <t>Inlet Guide Vane Control, BI &amp; Airfoil Fans</t>
  </si>
  <si>
    <t>Outlet Damper Control Forward Curve Fans</t>
  </si>
  <si>
    <t>Outlet Damper Control, Radial Blade Backward Inclined &amp; Airfoil Fans</t>
  </si>
  <si>
    <t>Eddy Current Drives</t>
  </si>
  <si>
    <t>Medium Load</t>
  </si>
  <si>
    <t>Low Load</t>
  </si>
  <si>
    <t>Load Curve Selection</t>
  </si>
  <si>
    <t>Custom or Metered</t>
  </si>
  <si>
    <t>Total</t>
  </si>
  <si>
    <t>Constant Volume</t>
  </si>
  <si>
    <t>Existing Flow Determination</t>
  </si>
  <si>
    <t>3-Duty Flow Selection</t>
  </si>
  <si>
    <t>Known Valve Position</t>
  </si>
  <si>
    <t>Known Existing Capacity</t>
  </si>
  <si>
    <t>Typical valve/damper performance</t>
  </si>
  <si>
    <t>% flow</t>
  </si>
  <si>
    <t>% open</t>
  </si>
  <si>
    <t>Typical  valve</t>
  </si>
  <si>
    <t>A</t>
  </si>
  <si>
    <t>= design point, operating conditions with throttling valve partially closed</t>
  </si>
  <si>
    <t>B</t>
  </si>
  <si>
    <t>= operating conditions, throttling valve 100% open</t>
  </si>
  <si>
    <t>C</t>
  </si>
  <si>
    <t>= operating conditions, pump/fan speed reduced</t>
  </si>
  <si>
    <t>kW</t>
  </si>
  <si>
    <r>
      <t>Enter</t>
    </r>
    <r>
      <rPr>
        <sz val="10"/>
        <rFont val="Arial"/>
        <family val="2"/>
      </rPr>
      <t xml:space="preserve"> hours per year pump operates:</t>
    </r>
  </si>
  <si>
    <r>
      <t xml:space="preserve"> Or, </t>
    </r>
    <r>
      <rPr>
        <b/>
        <u/>
        <sz val="10"/>
        <rFont val="Arial"/>
        <family val="2"/>
      </rPr>
      <t>Enter</t>
    </r>
    <r>
      <rPr>
        <sz val="10"/>
        <rFont val="Arial"/>
        <family val="2"/>
      </rPr>
      <t xml:space="preserve"> motor power, if measured:</t>
    </r>
  </si>
  <si>
    <t>Fan Motor Information</t>
  </si>
  <si>
    <r>
      <rPr>
        <b/>
        <u/>
        <sz val="10"/>
        <rFont val="Arial"/>
        <family val="2"/>
      </rPr>
      <t>Select</t>
    </r>
    <r>
      <rPr>
        <sz val="10"/>
        <rFont val="Arial"/>
        <family val="2"/>
      </rPr>
      <t xml:space="preserve"> existing control type:</t>
    </r>
  </si>
  <si>
    <r>
      <rPr>
        <b/>
        <u/>
        <sz val="10"/>
        <rFont val="Arial"/>
        <family val="2"/>
      </rPr>
      <t>Select</t>
    </r>
    <r>
      <rPr>
        <sz val="10"/>
        <rFont val="Arial"/>
        <family val="2"/>
      </rPr>
      <t xml:space="preserve"> proposed control type:</t>
    </r>
  </si>
  <si>
    <t>Look up table reference #</t>
  </si>
  <si>
    <t>percent</t>
  </si>
  <si>
    <t>Operating Parameters</t>
  </si>
  <si>
    <t>Savings Analysis Results</t>
  </si>
  <si>
    <t>kWh</t>
  </si>
  <si>
    <r>
      <t xml:space="preserve">kW </t>
    </r>
    <r>
      <rPr>
        <i/>
        <sz val="10"/>
        <rFont val="Arial"/>
        <family val="2"/>
      </rPr>
      <t>(overrides calculated power; leave blank if unknown)</t>
    </r>
  </si>
  <si>
    <t>Percent savings</t>
  </si>
  <si>
    <t>Annual energy savings, kWh</t>
  </si>
  <si>
    <t>Savings</t>
  </si>
  <si>
    <t>Existing system</t>
  </si>
  <si>
    <t>Calculated full load power:</t>
  </si>
  <si>
    <t>Full load power</t>
  </si>
  <si>
    <t>Part load performance</t>
  </si>
  <si>
    <t>Op hrs</t>
  </si>
  <si>
    <t>Proposed system</t>
  </si>
  <si>
    <t>EFLH of proposed system</t>
  </si>
  <si>
    <r>
      <t xml:space="preserve">percent </t>
    </r>
    <r>
      <rPr>
        <i/>
        <sz val="10"/>
        <rFont val="Arial"/>
        <family val="2"/>
      </rPr>
      <t>(default 80%)</t>
    </r>
  </si>
  <si>
    <r>
      <rPr>
        <b/>
        <u/>
        <sz val="10"/>
        <color theme="1"/>
        <rFont val="Arial"/>
        <family val="2"/>
      </rPr>
      <t>Select</t>
    </r>
    <r>
      <rPr>
        <sz val="10"/>
        <color theme="1"/>
        <rFont val="Arial"/>
        <family val="2"/>
      </rPr>
      <t xml:space="preserve"> load curve profile</t>
    </r>
  </si>
  <si>
    <t>User Input</t>
  </si>
  <si>
    <t>% time at Capacity</t>
  </si>
  <si>
    <t>Analysis Profile</t>
  </si>
  <si>
    <t>overrides calculated power - leave blank if unknown</t>
  </si>
  <si>
    <r>
      <t>Enter</t>
    </r>
    <r>
      <rPr>
        <sz val="10"/>
        <rFont val="Arial"/>
        <family val="2"/>
      </rPr>
      <t xml:space="preserve"> nameplate horsepower:</t>
    </r>
  </si>
  <si>
    <r>
      <t>Enter</t>
    </r>
    <r>
      <rPr>
        <sz val="10"/>
        <rFont val="Arial"/>
        <family val="2"/>
      </rPr>
      <t xml:space="preserve"> nameplate efficiency:</t>
    </r>
  </si>
  <si>
    <t>HVAC fan</t>
  </si>
  <si>
    <t>amps</t>
  </si>
  <si>
    <t>volts</t>
  </si>
  <si>
    <t>power factor</t>
  </si>
  <si>
    <t>Estimating power (kW) from measured amps:</t>
  </si>
  <si>
    <t>Estimating power (kW) from rated full load amps:</t>
  </si>
  <si>
    <t>FLA</t>
  </si>
  <si>
    <t>load factor</t>
  </si>
  <si>
    <t>ph</t>
  </si>
  <si>
    <t>Motor Efficiency &amp; Power Factor</t>
  </si>
  <si>
    <t>Efficiency</t>
  </si>
  <si>
    <t>Power Factor</t>
  </si>
  <si>
    <t>HP</t>
  </si>
  <si>
    <t>Std</t>
  </si>
  <si>
    <t>Prem.</t>
  </si>
  <si>
    <t>% flow req'd</t>
  </si>
  <si>
    <t>Estimated total flow</t>
  </si>
  <si>
    <r>
      <rPr>
        <b/>
        <u/>
        <sz val="10"/>
        <rFont val="Arial"/>
        <family val="2"/>
      </rPr>
      <t>Select</t>
    </r>
    <r>
      <rPr>
        <sz val="10"/>
        <rFont val="Arial"/>
        <family val="2"/>
      </rPr>
      <t xml:space="preserve"> flow calculation method:</t>
    </r>
  </si>
  <si>
    <r>
      <t>Enter</t>
    </r>
    <r>
      <rPr>
        <sz val="10"/>
        <rFont val="Arial"/>
        <family val="2"/>
      </rPr>
      <t xml:space="preserve"> motor load factor:</t>
    </r>
  </si>
  <si>
    <r>
      <t>Enter</t>
    </r>
    <r>
      <rPr>
        <sz val="10"/>
        <rFont val="Arial"/>
        <family val="2"/>
      </rPr>
      <t xml:space="preserve"> existing flow capacity:</t>
    </r>
  </si>
  <si>
    <t>Pump Motor Information</t>
  </si>
  <si>
    <t>Introduction</t>
  </si>
  <si>
    <t>Fan Analysis Instructions</t>
  </si>
  <si>
    <t>Step 1</t>
  </si>
  <si>
    <t xml:space="preserve">Step 2 </t>
  </si>
  <si>
    <t>If no full load spot measurements are available, estimate motor load factor in cell F6</t>
  </si>
  <si>
    <t>Select existing and proposed control systems</t>
  </si>
  <si>
    <t>The control type selection determines which standard part load performance curve will be used in the calculations. All part load curves were taken from the Bonneville Power Administration published documents</t>
  </si>
  <si>
    <t xml:space="preserve"> The curves were developed from data obtained by measuring the operating characteristics of various pumps and from information provided in "Flow Control", a Westinghouse publication, Bulletin B-851, F/86/Rev-CMS 8121.</t>
  </si>
  <si>
    <t>Step 4</t>
  </si>
  <si>
    <t>Select annual load profile</t>
  </si>
  <si>
    <t>https://save-energy-now.org/EM/tools/Documents/pumps/VSD%20Calculator%20for%20Pumps%20Tip%20Sheet.pdf</t>
  </si>
  <si>
    <t>Savings Calculation Method</t>
  </si>
  <si>
    <t>Annual hours of operation (column M) for each of the pump load bins is determined by multiplying the load profile % by the total annual hours of operation</t>
  </si>
  <si>
    <t>The existing (column N) and proposed (column Q) full load power percentage is taken from the fan load curves located on the "Fan Curves" worksheet</t>
  </si>
  <si>
    <t>The existing (column O) and proposed (column R) pump power is determined by multiplying the full load pump power( cell F7 or F8) by the corresponding full load power percentage</t>
  </si>
  <si>
    <t>The existing (column P) and proposed (column S) annual energy usage (kWh) is determined by multiplying the associated full load power by the total annual hours in that bin</t>
  </si>
  <si>
    <t>The total annual energy savings is the sum of difference between the annual energy usage of the existing and proposed usage (cell P23 - cell S23)</t>
  </si>
  <si>
    <t>% of full load GPM</t>
  </si>
  <si>
    <t>Step 5</t>
  </si>
  <si>
    <t>Pump Analysis Instructions</t>
  </si>
  <si>
    <t>Enter fan motor information (motor hp and efficiency from motor nameplate or other documented source)</t>
  </si>
  <si>
    <t xml:space="preserve">Estimate motor load factor, or use default load factor (80%). </t>
  </si>
  <si>
    <t xml:space="preserve">Step 3 </t>
  </si>
  <si>
    <t>Determine fan motor full load kW - the analysis will be based on a calculated value determined from Step 1, or the user may input full load kW based on field measurements:</t>
  </si>
  <si>
    <t xml:space="preserve">Enter the fan's annual hours of operation </t>
  </si>
  <si>
    <t>The curves were developed from data obtained by measuring the operating characteristics of various pumps and from information provided in "Flow Control", a Westinghouse publication, Bulletin B-851, F/86/Rev-CMS 8121.</t>
  </si>
  <si>
    <t>The results of the analysis are presented in the table and graphs to the right of the input section. The savings values presented are calculated as follows:</t>
  </si>
  <si>
    <t>Step 6</t>
  </si>
  <si>
    <t>Enter pump motor information (motor hp and efficiency from motor nameplate or other documented source)</t>
  </si>
  <si>
    <t>Determine pump motor full load kW - the analysis will be based on a calculated value determined from Step 1, or the user may input full load kW based on field measurements:</t>
  </si>
  <si>
    <t>Enter the pump's annual hours of operation</t>
  </si>
  <si>
    <r>
      <t>Enter</t>
    </r>
    <r>
      <rPr>
        <sz val="10"/>
        <rFont val="Arial"/>
        <family val="2"/>
      </rPr>
      <t xml:space="preserve"> existing valve position (percent open):</t>
    </r>
  </si>
  <si>
    <t>Calculated motor power:</t>
  </si>
  <si>
    <t>Throttle Valve Instructions</t>
  </si>
  <si>
    <t>Determine pump motor power  - the analysis will be based on a calculated value determined from Step 1, or the user may input motor power based on field measurements:</t>
  </si>
  <si>
    <t>Determine existing system flow:</t>
  </si>
  <si>
    <t>If only the existing valve position is known select "Known Valve Position" in cell E22 and enter the valve percent open position in cell F26</t>
  </si>
  <si>
    <t>The throttling devise moves the system curve to the left and the pump's power is reduced (known as riding the pump curve)</t>
  </si>
  <si>
    <t>The existing system power is determined from the measured value, or calculated based on the percent load reduction caused by using a throttling devise</t>
  </si>
  <si>
    <t>Energy Savings Calculator - Pump and Fan VFD Retrofit</t>
  </si>
  <si>
    <r>
      <t xml:space="preserve">This calculator is designed to provide savings estimates for VFD fan and pump installations. The tool can be used in conjunction with site specific spot measurements and logged data of with generic load profiles and estimated full load motor loading. 
This tool has three specific calculation pages: 
1) </t>
    </r>
    <r>
      <rPr>
        <b/>
        <sz val="10"/>
        <color theme="1"/>
        <rFont val="Arial"/>
        <family val="2"/>
      </rPr>
      <t>VFD Fan Analysis</t>
    </r>
    <r>
      <rPr>
        <sz val="10"/>
        <color theme="1"/>
        <rFont val="Arial"/>
        <family val="2"/>
      </rPr>
      <t xml:space="preserve"> - fan applications
2) </t>
    </r>
    <r>
      <rPr>
        <b/>
        <sz val="10"/>
        <color theme="1"/>
        <rFont val="Arial"/>
        <family val="2"/>
      </rPr>
      <t>VFD</t>
    </r>
    <r>
      <rPr>
        <sz val="10"/>
        <color theme="1"/>
        <rFont val="Arial"/>
        <family val="2"/>
      </rPr>
      <t xml:space="preserve"> </t>
    </r>
    <r>
      <rPr>
        <b/>
        <sz val="10"/>
        <color theme="1"/>
        <rFont val="Arial"/>
        <family val="2"/>
      </rPr>
      <t>Pump Analysis</t>
    </r>
    <r>
      <rPr>
        <sz val="10"/>
        <color theme="1"/>
        <rFont val="Arial"/>
        <family val="2"/>
      </rPr>
      <t xml:space="preserve"> - Pump applications where system flow will vary throughout the year
3) </t>
    </r>
    <r>
      <rPr>
        <b/>
        <sz val="10"/>
        <color theme="1"/>
        <rFont val="Arial"/>
        <family val="2"/>
      </rPr>
      <t>Throttle Valve Analysis</t>
    </r>
    <r>
      <rPr>
        <sz val="10"/>
        <color theme="1"/>
        <rFont val="Arial"/>
        <family val="2"/>
      </rPr>
      <t xml:space="preserve"> - Pump applications where system flow will remain constant and a VFD is being used to replace a throttling valve (e.g., triple-duty valve) </t>
    </r>
  </si>
  <si>
    <r>
      <t xml:space="preserve">If </t>
    </r>
    <r>
      <rPr>
        <b/>
        <sz val="10"/>
        <color theme="1"/>
        <rFont val="Arial"/>
        <family val="2"/>
      </rPr>
      <t>Full Load</t>
    </r>
    <r>
      <rPr>
        <sz val="10"/>
        <color theme="1"/>
        <rFont val="Arial"/>
        <family val="2"/>
      </rPr>
      <t xml:space="preserve"> (100% flow) spot </t>
    </r>
    <r>
      <rPr>
        <b/>
        <sz val="10"/>
        <color theme="1"/>
        <rFont val="Arial"/>
        <family val="2"/>
      </rPr>
      <t>Power</t>
    </r>
    <r>
      <rPr>
        <sz val="10"/>
        <color theme="1"/>
        <rFont val="Arial"/>
        <family val="2"/>
      </rPr>
      <t xml:space="preserve"> measurements have been taken enter the value in cell F8</t>
    </r>
  </si>
  <si>
    <r>
      <t>If annual load profile is</t>
    </r>
    <r>
      <rPr>
        <b/>
        <sz val="10"/>
        <color theme="1"/>
        <rFont val="Arial"/>
        <family val="2"/>
      </rPr>
      <t xml:space="preserve"> known from site metered data or site specific schedules</t>
    </r>
    <r>
      <rPr>
        <sz val="10"/>
        <color theme="1"/>
        <rFont val="Arial"/>
        <family val="2"/>
      </rPr>
      <t xml:space="preserve"> select "custom or metered" in cell B25. Enter annual load profile in cells D29:D39</t>
    </r>
  </si>
  <si>
    <r>
      <t>If annual load profile is</t>
    </r>
    <r>
      <rPr>
        <b/>
        <sz val="10"/>
        <color theme="1"/>
        <rFont val="Arial"/>
        <family val="2"/>
      </rPr>
      <t xml:space="preserve"> not known</t>
    </r>
    <r>
      <rPr>
        <sz val="10"/>
        <color theme="1"/>
        <rFont val="Arial"/>
        <family val="2"/>
      </rPr>
      <t>, select a generic load profile in cell B25 which represents the expected annual load profile</t>
    </r>
  </si>
  <si>
    <r>
      <t>If annual load profile is</t>
    </r>
    <r>
      <rPr>
        <b/>
        <sz val="10"/>
        <color theme="1"/>
        <rFont val="Arial"/>
        <family val="2"/>
      </rPr>
      <t xml:space="preserve"> not known</t>
    </r>
    <r>
      <rPr>
        <sz val="10"/>
        <color theme="1"/>
        <rFont val="Arial"/>
        <family val="2"/>
      </rPr>
      <t>, select a generic load profile in cell B25 which best represents the expected annual load profile the pump will serve</t>
    </r>
  </si>
  <si>
    <r>
      <t>If the system flow is</t>
    </r>
    <r>
      <rPr>
        <b/>
        <sz val="10"/>
        <color theme="1"/>
        <rFont val="Arial"/>
        <family val="2"/>
      </rPr>
      <t xml:space="preserve"> known from site metered data or spot measurements </t>
    </r>
    <r>
      <rPr>
        <sz val="10"/>
        <color theme="1"/>
        <rFont val="Arial"/>
        <family val="2"/>
      </rPr>
      <t>select "Known Existing Capacity" in cell E22 and enter the flow as a percentage of the full load GPM in cell F26</t>
    </r>
  </si>
  <si>
    <r>
      <t xml:space="preserve">If </t>
    </r>
    <r>
      <rPr>
        <b/>
        <sz val="10"/>
        <color theme="1"/>
        <rFont val="Arial"/>
        <family val="2"/>
      </rPr>
      <t>Full Load</t>
    </r>
    <r>
      <rPr>
        <sz val="10"/>
        <color theme="1"/>
        <rFont val="Arial"/>
        <family val="2"/>
      </rPr>
      <t xml:space="preserve"> (100% flow) spot A</t>
    </r>
    <r>
      <rPr>
        <b/>
        <sz val="10"/>
        <color theme="1"/>
        <rFont val="Arial"/>
        <family val="2"/>
      </rPr>
      <t>mperage</t>
    </r>
    <r>
      <rPr>
        <sz val="10"/>
        <color theme="1"/>
        <rFont val="Arial"/>
        <family val="2"/>
      </rPr>
      <t xml:space="preserve"> measurements are available, estimate full load kW using calculation method in cells C46:F46 and standard power factor table. Enter estimated kW calculated in cell B46 into cell F8</t>
    </r>
  </si>
  <si>
    <t>The results of the analysis are presented in the table to the right of the input section. The savings values presented are calculated as follows:</t>
  </si>
  <si>
    <t>System % Flow</t>
  </si>
  <si>
    <t>Existing System - Full Load Power</t>
  </si>
  <si>
    <t>Calculated from throttle valve regression curve from "Pump Curves" worksheet and the system % flow</t>
  </si>
  <si>
    <t>Proposed System - Full Load Power</t>
  </si>
  <si>
    <t>Calculated from VSD regression curve from "Pump Curves" worksheet and the system % flow</t>
  </si>
  <si>
    <t>The total annual energy savings is the sum of difference between the annual energy usage of the existing and proposed usage (cell P12 - cell S12)</t>
  </si>
  <si>
    <t>None-Constant Volume</t>
  </si>
  <si>
    <t>Calculated from either the value in cell F26 if "Know Existing Capacity" is selected or calculated from a standard throttle position curve contained on the "Throttling valve curves" worksheet if "Know valve position" is selected</t>
  </si>
  <si>
    <t>Torque Converter</t>
  </si>
  <si>
    <t>CO Garage Sensor</t>
  </si>
  <si>
    <t>CO Garage Fan</t>
  </si>
  <si>
    <t>Fan Curves</t>
  </si>
  <si>
    <t>Pump Curves</t>
  </si>
  <si>
    <t>Annual energy savings (kWh)</t>
  </si>
  <si>
    <t>Reference Table: Motor Efficiency</t>
  </si>
  <si>
    <t>Instructions</t>
  </si>
  <si>
    <t>Default motor load factor:</t>
  </si>
  <si>
    <t xml:space="preserve">percent </t>
  </si>
  <si>
    <r>
      <t xml:space="preserve"> Or, </t>
    </r>
    <r>
      <rPr>
        <b/>
        <u/>
        <sz val="10"/>
        <color theme="0" tint="-0.249977111117893"/>
        <rFont val="Arial"/>
        <family val="2"/>
      </rPr>
      <t>Enter</t>
    </r>
    <r>
      <rPr>
        <sz val="10"/>
        <color theme="0" tint="-0.249977111117893"/>
        <rFont val="Arial"/>
        <family val="2"/>
      </rPr>
      <t xml:space="preserve"> motor power, if measured:</t>
    </r>
  </si>
  <si>
    <r>
      <t xml:space="preserve">kW </t>
    </r>
    <r>
      <rPr>
        <i/>
        <sz val="10"/>
        <color theme="0" tint="-0.249977111117893"/>
        <rFont val="Arial"/>
        <family val="2"/>
      </rPr>
      <t>(overrides calculated power; leave blank if unknown)</t>
    </r>
  </si>
  <si>
    <t>Existing control type:</t>
  </si>
  <si>
    <t>Proposed control type:</t>
  </si>
  <si>
    <t>Quantity</t>
  </si>
  <si>
    <t>Date</t>
  </si>
  <si>
    <t>Nameplate efficiency:</t>
  </si>
  <si>
    <r>
      <t xml:space="preserve">percent </t>
    </r>
    <r>
      <rPr>
        <sz val="10"/>
        <rFont val="Arial"/>
        <family val="2"/>
      </rPr>
      <t>(from below reference table)</t>
    </r>
  </si>
  <si>
    <t>Annual Operating Hours</t>
  </si>
  <si>
    <t>Advanced Input - Load Profile</t>
  </si>
  <si>
    <t>Use custom or metered data for the load profile?</t>
  </si>
  <si>
    <t>Percent Full Load</t>
  </si>
  <si>
    <t>Percent Run Time</t>
  </si>
  <si>
    <t>Quantity:</t>
  </si>
  <si>
    <t>Nameplate horsepower:</t>
  </si>
  <si>
    <t>Hours per year fan operates:</t>
  </si>
  <si>
    <t>Load curve profile</t>
  </si>
  <si>
    <t>The calculator uses a typical HVAC fan load profile to estimate energy savings. The load profile defines the percent time a fan operates at different airflows (typical of a variable air volume system).</t>
  </si>
  <si>
    <t>Select "Yes" from the custom or metered data drop box.</t>
  </si>
  <si>
    <t>Enter the percent annual run time at the percent of full load.</t>
  </si>
  <si>
    <t>VSD/Motor Size (HP)</t>
  </si>
  <si>
    <t>Business Address</t>
  </si>
  <si>
    <t xml:space="preserve">Enter the fan motor annual operating hours </t>
  </si>
  <si>
    <t xml:space="preserve">Note the sum of percent time must equal 100% for the savings results.  A report showing "N/A" will not be accepted. </t>
  </si>
  <si>
    <t>Enter the business customer name and address</t>
  </si>
  <si>
    <t>Customer Name</t>
  </si>
  <si>
    <r>
      <t xml:space="preserve">Print the energy savings results </t>
    </r>
    <r>
      <rPr>
        <sz val="8"/>
        <color theme="1"/>
        <rFont val="Arial"/>
        <family val="2"/>
      </rPr>
      <t xml:space="preserve">(from the excel tool bar use file print function) </t>
    </r>
  </si>
  <si>
    <t>Example: A 10,000 cfm fan will supply 8,000 cfm for 2,000 of its 4,000 annual operating hours. Therefore a 50% run time (2,000/4,000 hours) is enter at 80% full load (8,000/10,000 cfm)</t>
  </si>
  <si>
    <t xml:space="preserve">Enter an identifier for where the VSD is located </t>
  </si>
  <si>
    <t>Enter the VSD motor size (horsepower)</t>
  </si>
  <si>
    <t xml:space="preserve">Enter the quantity of VSDs </t>
  </si>
  <si>
    <t>VSD location</t>
  </si>
  <si>
    <t>Submit a 1-page report for each size and type of variable speed drive proposed.</t>
  </si>
  <si>
    <t>Note: You will be required to provide operating hour calculations and/or supporting documentation for operating hours exceeding 2,700 hours</t>
  </si>
  <si>
    <t>Note: You will be required to provide the backup data for the custom profile entered</t>
  </si>
  <si>
    <t>No</t>
  </si>
  <si>
    <t>Fan Retrofit</t>
  </si>
  <si>
    <t xml:space="preserve">If you have measured or other credible sources of data substantiating your fan load profile, then a custom load profile may be entered in the below table.  </t>
  </si>
  <si>
    <t>Rebate Amount</t>
  </si>
  <si>
    <t>Energy Savings (kWh/yr)</t>
  </si>
  <si>
    <t>The energy savings and rebate amount are automatically calculated</t>
  </si>
  <si>
    <t>Use this section for determining energy savings from measured data</t>
  </si>
  <si>
    <t>Off</t>
  </si>
  <si>
    <t>HVAC Fan VSD Rebate Calculator - Silicon Valley Power</t>
  </si>
  <si>
    <t>Submit this spreadsheet and a copy of the printed report with your SVP Customer Directed Rebate application.</t>
  </si>
  <si>
    <t>Rebate ($/kWh)</t>
  </si>
  <si>
    <t>Select the Results Summary tab to see and print the estimated energy savings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</si>
</sst>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6" formatCode="&quot;$&quot;#,##0_);[Red]\(&quot;$&quot;#,##0\)"/>
    <numFmt numFmtId="44" formatCode="_(&quot;$&quot;* #,##0.00_);_(&quot;$&quot;* \(#,##0.00\);_(&quot;$&quot;* &quot;-&quot;??_);_(@_)"/>
    <numFmt numFmtId="43" formatCode="_(* #,##0.00_);_(* \(#,##0.00\);_(* &quot;-&quot;??_);_(@_)"/>
    <numFmt numFmtId="164" formatCode="#,##0.0"/>
    <numFmt numFmtId="165" formatCode="0.0"/>
    <numFmt numFmtId="166" formatCode="#,##0&quot; therms&quot;"/>
    <numFmt numFmtId="167" formatCode="#,##0&quot; kBtuh&quot;"/>
    <numFmt numFmtId="168" formatCode="#,##0&quot; kWh&quot;"/>
    <numFmt numFmtId="169" formatCode="#,##0&quot;W   &quot;"/>
    <numFmt numFmtId="170" formatCode="&quot;Equipment &quot;0.0&quot; W/sqft Typical&quot;"/>
    <numFmt numFmtId="171" formatCode="0.0000000000"/>
    <numFmt numFmtId="172" formatCode="0.00_)"/>
    <numFmt numFmtId="173" formatCode="#,##0\V"/>
    <numFmt numFmtId="174" formatCode="#,##0&quot; rpm&quot;"/>
    <numFmt numFmtId="175" formatCode="0&quot; gal&quot;"/>
    <numFmt numFmtId="176" formatCode="&quot;$&quot;#,##0_)&quot;   &quot;;\(&quot;$&quot;#,##0\)&quot;   &quot;"/>
    <numFmt numFmtId="177" formatCode="#,##0&quot; tons&quot;"/>
    <numFmt numFmtId="178" formatCode="#,##0&quot; kW&quot;"/>
    <numFmt numFmtId="179" formatCode="General&quot; hp&quot;"/>
    <numFmt numFmtId="180" formatCode="#,##0.00&quot; $&quot;;\-#,##0.00&quot; $&quot;"/>
    <numFmt numFmtId="181" formatCode="_-* #,##0.0_-;\-* #,##0.0_-;_-* &quot;-&quot;??_-;_-@_-"/>
    <numFmt numFmtId="182" formatCode="_(* #,##0.0_);_(* \-#,##0.0_);_(* &quot;-&quot;??_);_(@_)"/>
    <numFmt numFmtId="183" formatCode="0.0%"/>
    <numFmt numFmtId="184" formatCode="_(* #,##0_);_(* \(#,##0\);_(* &quot;-&quot;??_);_(@_)"/>
    <numFmt numFmtId="185" formatCode="0.000"/>
    <numFmt numFmtId="186" formatCode="#,##0.0_);\(#,##0.0\)"/>
    <numFmt numFmtId="187" formatCode="[$-409]h:mm\ AM/PM;@"/>
    <numFmt numFmtId="188" formatCode="[$-409]mmmm\ d\,\ yyyy;@"/>
    <numFmt numFmtId="189" formatCode="&quot;$&quot;#,##0.00"/>
  </numFmts>
  <fonts count="48">
    <font>
      <sz val="11"/>
      <color theme="1"/>
      <name val="Calibri"/>
      <family val="2"/>
      <scheme val="minor"/>
    </font>
    <font>
      <sz val="11"/>
      <color theme="1"/>
      <name val="Calibri"/>
      <family val="2"/>
      <scheme val="minor"/>
    </font>
    <font>
      <b/>
      <sz val="11"/>
      <color theme="1"/>
      <name val="Calibri"/>
      <family val="2"/>
      <scheme val="minor"/>
    </font>
    <font>
      <sz val="10"/>
      <name val="Helv"/>
    </font>
    <font>
      <b/>
      <sz val="10"/>
      <name val="Helv"/>
    </font>
    <font>
      <b/>
      <sz val="9"/>
      <name val="Helv"/>
    </font>
    <font>
      <u/>
      <sz val="6"/>
      <color indexed="12"/>
      <name val="Helv"/>
    </font>
    <font>
      <sz val="10"/>
      <name val="Arial"/>
      <family val="2"/>
    </font>
    <font>
      <b/>
      <sz val="10"/>
      <name val="Arial"/>
      <family val="2"/>
    </font>
    <font>
      <sz val="10"/>
      <color indexed="12"/>
      <name val="Arial"/>
      <family val="2"/>
    </font>
    <font>
      <sz val="8"/>
      <name val="Arial"/>
      <family val="2"/>
    </font>
    <font>
      <b/>
      <i/>
      <sz val="12"/>
      <name val="Arial"/>
      <family val="2"/>
    </font>
    <font>
      <sz val="10"/>
      <name val="Geneva"/>
      <family val="2"/>
    </font>
    <font>
      <sz val="11"/>
      <name val="??"/>
      <family val="3"/>
      <charset val="129"/>
    </font>
    <font>
      <b/>
      <u/>
      <sz val="11"/>
      <color indexed="37"/>
      <name val="Arial"/>
      <family val="2"/>
    </font>
    <font>
      <sz val="7"/>
      <name val="Small Fonts"/>
      <family val="2"/>
    </font>
    <font>
      <b/>
      <i/>
      <sz val="16"/>
      <name val="Helv"/>
    </font>
    <font>
      <sz val="8"/>
      <color indexed="12"/>
      <name val="Arial"/>
      <family val="2"/>
    </font>
    <font>
      <i/>
      <sz val="10"/>
      <name val="Arial"/>
      <family val="2"/>
    </font>
    <font>
      <b/>
      <u/>
      <sz val="10"/>
      <name val="Arial"/>
      <family val="2"/>
    </font>
    <font>
      <sz val="10"/>
      <color theme="1"/>
      <name val="Arial"/>
      <family val="2"/>
    </font>
    <font>
      <b/>
      <sz val="10"/>
      <color theme="1"/>
      <name val="Arial"/>
      <family val="2"/>
    </font>
    <font>
      <b/>
      <u/>
      <sz val="10"/>
      <color indexed="12"/>
      <name val="Arial"/>
      <family val="2"/>
    </font>
    <font>
      <i/>
      <sz val="10"/>
      <color theme="1"/>
      <name val="Arial"/>
      <family val="2"/>
    </font>
    <font>
      <b/>
      <u/>
      <sz val="10"/>
      <color theme="1"/>
      <name val="Arial"/>
      <family val="2"/>
    </font>
    <font>
      <i/>
      <sz val="10"/>
      <color theme="0" tint="-0.499984740745262"/>
      <name val="Arial"/>
      <family val="2"/>
    </font>
    <font>
      <b/>
      <sz val="10"/>
      <color theme="0" tint="-0.499984740745262"/>
      <name val="Arial"/>
      <family val="2"/>
    </font>
    <font>
      <sz val="10"/>
      <color theme="0" tint="-0.499984740745262"/>
      <name val="Arial"/>
      <family val="2"/>
    </font>
    <font>
      <sz val="10"/>
      <color theme="3"/>
      <name val="Arial"/>
      <family val="2"/>
    </font>
    <font>
      <b/>
      <sz val="9"/>
      <name val="Arial"/>
      <family val="2"/>
    </font>
    <font>
      <sz val="9"/>
      <name val="Arial"/>
      <family val="2"/>
    </font>
    <font>
      <sz val="11"/>
      <color theme="1"/>
      <name val="Arial"/>
      <family val="2"/>
    </font>
    <font>
      <sz val="11"/>
      <name val="Arial"/>
      <family val="2"/>
    </font>
    <font>
      <b/>
      <sz val="18"/>
      <color theme="1"/>
      <name val="Arial"/>
      <family val="2"/>
    </font>
    <font>
      <b/>
      <sz val="11"/>
      <color theme="1"/>
      <name val="Arial"/>
      <family val="2"/>
    </font>
    <font>
      <i/>
      <sz val="11"/>
      <color theme="1"/>
      <name val="Arial"/>
      <family val="2"/>
    </font>
    <font>
      <u/>
      <sz val="10"/>
      <color theme="1"/>
      <name val="Arial"/>
      <family val="2"/>
    </font>
    <font>
      <b/>
      <sz val="9"/>
      <color theme="0"/>
      <name val="Arial"/>
      <family val="2"/>
    </font>
    <font>
      <sz val="9"/>
      <color theme="0"/>
      <name val="Arial"/>
      <family val="2"/>
    </font>
    <font>
      <sz val="10"/>
      <color theme="0" tint="-0.249977111117893"/>
      <name val="Arial"/>
      <family val="2"/>
    </font>
    <font>
      <b/>
      <u/>
      <sz val="10"/>
      <color theme="0" tint="-0.249977111117893"/>
      <name val="Arial"/>
      <family val="2"/>
    </font>
    <font>
      <b/>
      <sz val="10"/>
      <color theme="0" tint="-0.249977111117893"/>
      <name val="Arial"/>
      <family val="2"/>
    </font>
    <font>
      <i/>
      <sz val="10"/>
      <color theme="0" tint="-0.249977111117893"/>
      <name val="Arial"/>
      <family val="2"/>
    </font>
    <font>
      <b/>
      <sz val="12"/>
      <color theme="1"/>
      <name val="Arial"/>
      <family val="2"/>
    </font>
    <font>
      <b/>
      <sz val="16"/>
      <color theme="1"/>
      <name val="Arial"/>
      <family val="2"/>
    </font>
    <font>
      <b/>
      <sz val="10"/>
      <color theme="4"/>
      <name val="Arial"/>
      <family val="2"/>
    </font>
    <font>
      <b/>
      <i/>
      <sz val="10"/>
      <color theme="4"/>
      <name val="Arial"/>
      <family val="2"/>
    </font>
    <font>
      <sz val="8"/>
      <color theme="1"/>
      <name val="Arial"/>
      <family val="2"/>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
      <patternFill patternType="solid">
        <fgColor theme="7"/>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bgColor indexed="64"/>
      </patternFill>
    </fill>
    <fill>
      <patternFill patternType="solid">
        <fgColor theme="6"/>
        <bgColor indexed="64"/>
      </patternFill>
    </fill>
  </fills>
  <borders count="33">
    <border>
      <left/>
      <right/>
      <top/>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style="thin">
        <color indexed="64"/>
      </right>
      <top style="thin">
        <color indexed="64"/>
      </top>
      <bottom/>
      <diagonal/>
    </border>
    <border>
      <left style="double">
        <color indexed="64"/>
      </left>
      <right/>
      <top/>
      <bottom style="hair">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indexed="64"/>
      </right>
      <top/>
      <bottom/>
      <diagonal/>
    </border>
    <border>
      <left/>
      <right style="thin">
        <color indexed="64"/>
      </right>
      <top style="thin">
        <color indexed="64"/>
      </top>
      <bottom style="double">
        <color indexed="64"/>
      </bottom>
      <diagonal/>
    </border>
    <border>
      <left style="thin">
        <color auto="1"/>
      </left>
      <right style="thin">
        <color indexed="64"/>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s>
  <cellStyleXfs count="43">
    <xf numFmtId="0" fontId="0" fillId="0" borderId="0"/>
    <xf numFmtId="9" fontId="1" fillId="0" borderId="0" applyFont="0" applyFill="0" applyBorder="0" applyAlignment="0" applyProtection="0"/>
    <xf numFmtId="0" fontId="3"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171" fontId="12" fillId="4" borderId="13">
      <alignment horizontal="center" vertical="center"/>
    </xf>
    <xf numFmtId="176"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6" fontId="13" fillId="0" borderId="0">
      <protection locked="0"/>
    </xf>
    <xf numFmtId="182" fontId="7" fillId="0" borderId="3" applyBorder="0" applyAlignment="0">
      <alignment vertical="center"/>
    </xf>
    <xf numFmtId="170" fontId="7" fillId="0" borderId="0" applyFont="0" applyFill="0" applyBorder="0" applyAlignment="0" applyProtection="0">
      <alignment horizontal="left"/>
    </xf>
    <xf numFmtId="181" fontId="7" fillId="0" borderId="0">
      <protection locked="0"/>
    </xf>
    <xf numFmtId="175" fontId="7" fillId="0" borderId="0" applyFont="0" applyFill="0" applyBorder="0" applyAlignment="0" applyProtection="0">
      <alignment horizontal="right"/>
    </xf>
    <xf numFmtId="38" fontId="10" fillId="2" borderId="0" applyNumberFormat="0" applyBorder="0" applyAlignment="0" applyProtection="0"/>
    <xf numFmtId="0" fontId="14" fillId="0" borderId="0" applyNumberFormat="0" applyFill="0" applyBorder="0" applyAlignment="0" applyProtection="0"/>
    <xf numFmtId="180" fontId="7" fillId="0" borderId="0">
      <protection locked="0"/>
    </xf>
    <xf numFmtId="180" fontId="7" fillId="0" borderId="0">
      <protection locked="0"/>
    </xf>
    <xf numFmtId="0" fontId="9" fillId="0" borderId="2" applyNumberFormat="0" applyFill="0" applyAlignment="0" applyProtection="0"/>
    <xf numFmtId="179" fontId="7" fillId="0" borderId="14">
      <alignment horizontal="center"/>
    </xf>
    <xf numFmtId="10" fontId="10" fillId="3" borderId="4" applyNumberFormat="0" applyBorder="0" applyAlignment="0" applyProtection="0"/>
    <xf numFmtId="167" fontId="7" fillId="0" borderId="0" applyFont="0" applyFill="0" applyBorder="0" applyAlignment="0" applyProtection="0">
      <alignment horizontal="right"/>
    </xf>
    <xf numFmtId="178" fontId="11" fillId="0" borderId="0" applyFont="0" applyFill="0" applyBorder="0" applyAlignment="0" applyProtection="0">
      <alignment horizontal="right"/>
    </xf>
    <xf numFmtId="168" fontId="7" fillId="0" borderId="0" applyFont="0" applyFill="0" applyBorder="0" applyAlignment="0" applyProtection="0">
      <alignment horizontal="right"/>
    </xf>
    <xf numFmtId="37" fontId="15" fillId="0" borderId="0"/>
    <xf numFmtId="172" fontId="16" fillId="0" borderId="0"/>
    <xf numFmtId="9" fontId="7" fillId="0" borderId="0" applyFont="0" applyFill="0" applyBorder="0" applyAlignment="0" applyProtection="0"/>
    <xf numFmtId="10" fontId="7" fillId="0" borderId="0" applyFont="0" applyFill="0" applyBorder="0" applyAlignment="0" applyProtection="0"/>
    <xf numFmtId="174" fontId="7" fillId="0" borderId="0" applyFont="0" applyFill="0" applyBorder="0" applyAlignment="0" applyProtection="0">
      <alignment horizontal="right"/>
    </xf>
    <xf numFmtId="166" fontId="11" fillId="0" borderId="0" applyFont="0" applyBorder="0" applyAlignment="0">
      <alignment horizontal="center"/>
    </xf>
    <xf numFmtId="177" fontId="7" fillId="0" borderId="0" applyFont="0" applyFill="0" applyBorder="0" applyAlignment="0" applyProtection="0">
      <alignment horizontal="right"/>
    </xf>
    <xf numFmtId="180" fontId="7" fillId="0" borderId="15">
      <protection locked="0"/>
    </xf>
    <xf numFmtId="37" fontId="10" fillId="5" borderId="0" applyNumberFormat="0" applyBorder="0" applyAlignment="0" applyProtection="0"/>
    <xf numFmtId="37" fontId="10" fillId="0" borderId="0"/>
    <xf numFmtId="3" fontId="17" fillId="0" borderId="2" applyProtection="0"/>
    <xf numFmtId="173" fontId="7" fillId="0" borderId="0" applyFont="0" applyFill="0" applyBorder="0" applyAlignment="0" applyProtection="0">
      <alignment horizontal="right"/>
    </xf>
    <xf numFmtId="169" fontId="7" fillId="0" borderId="0" applyFont="0" applyFill="0" applyBorder="0" applyAlignment="0" applyProtection="0">
      <alignment horizontal="right"/>
    </xf>
    <xf numFmtId="0" fontId="7"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283">
    <xf numFmtId="0" fontId="0" fillId="0" borderId="0" xfId="0"/>
    <xf numFmtId="0" fontId="3" fillId="0" borderId="0" xfId="2"/>
    <xf numFmtId="0" fontId="3" fillId="0" borderId="0" xfId="2" applyAlignment="1"/>
    <xf numFmtId="0" fontId="3" fillId="0" borderId="0" xfId="2" applyBorder="1" applyAlignment="1"/>
    <xf numFmtId="0" fontId="0" fillId="0" borderId="0" xfId="0"/>
    <xf numFmtId="0" fontId="0" fillId="0" borderId="0" xfId="0" quotePrefix="1"/>
    <xf numFmtId="0" fontId="0" fillId="0" borderId="0" xfId="0" applyAlignment="1">
      <alignment horizontal="center"/>
    </xf>
    <xf numFmtId="0" fontId="8" fillId="0" borderId="0" xfId="2" applyFont="1" applyFill="1" applyBorder="1" applyAlignment="1" applyProtection="1">
      <alignment horizontal="center" vertical="center"/>
    </xf>
    <xf numFmtId="0" fontId="7" fillId="0" borderId="0" xfId="2" applyFont="1" applyBorder="1" applyProtection="1"/>
    <xf numFmtId="0" fontId="8" fillId="0" borderId="0" xfId="2" applyFont="1" applyBorder="1" applyProtection="1"/>
    <xf numFmtId="0" fontId="7" fillId="0" borderId="0" xfId="2" applyFont="1"/>
    <xf numFmtId="0" fontId="7" fillId="0" borderId="0" xfId="2" applyFont="1" applyAlignment="1"/>
    <xf numFmtId="0" fontId="7" fillId="0" borderId="0" xfId="2" applyFont="1" applyBorder="1" applyAlignment="1"/>
    <xf numFmtId="0" fontId="20" fillId="0" borderId="0" xfId="0" applyFont="1" applyAlignment="1">
      <alignment horizontal="center"/>
    </xf>
    <xf numFmtId="0" fontId="20" fillId="0" borderId="0" xfId="0" applyFont="1"/>
    <xf numFmtId="0" fontId="22" fillId="0" borderId="0" xfId="3" applyFont="1" applyBorder="1" applyAlignment="1" applyProtection="1"/>
    <xf numFmtId="2" fontId="7" fillId="0" borderId="0" xfId="5" applyNumberFormat="1" applyFont="1" applyFill="1" applyBorder="1" applyAlignment="1">
      <alignment horizontal="center" vertical="center" wrapText="1"/>
    </xf>
    <xf numFmtId="4" fontId="20" fillId="0" borderId="0" xfId="0" applyNumberFormat="1" applyFont="1" applyBorder="1" applyAlignment="1">
      <alignment horizontal="center"/>
    </xf>
    <xf numFmtId="9" fontId="7" fillId="0" borderId="11" xfId="1" applyFont="1" applyFill="1" applyBorder="1" applyAlignment="1">
      <alignment horizontal="center" vertical="center" wrapText="1"/>
    </xf>
    <xf numFmtId="3" fontId="20" fillId="0" borderId="8" xfId="0" applyNumberFormat="1" applyFont="1" applyBorder="1" applyAlignment="1">
      <alignment horizontal="center"/>
    </xf>
    <xf numFmtId="9" fontId="7" fillId="0" borderId="16" xfId="1" applyFont="1" applyFill="1" applyBorder="1" applyAlignment="1">
      <alignment horizontal="center" vertical="center" wrapText="1"/>
    </xf>
    <xf numFmtId="3" fontId="20" fillId="0" borderId="17" xfId="0" applyNumberFormat="1" applyFont="1" applyBorder="1" applyAlignment="1">
      <alignment horizontal="center"/>
    </xf>
    <xf numFmtId="0" fontId="21" fillId="8" borderId="5" xfId="0" applyFont="1" applyFill="1" applyBorder="1"/>
    <xf numFmtId="37" fontId="21" fillId="8" borderId="18" xfId="0" applyNumberFormat="1" applyFont="1" applyFill="1" applyBorder="1" applyAlignment="1">
      <alignment horizontal="center"/>
    </xf>
    <xf numFmtId="0" fontId="21" fillId="8" borderId="18" xfId="0" applyFont="1" applyFill="1" applyBorder="1"/>
    <xf numFmtId="3" fontId="21" fillId="8" borderId="18" xfId="0" applyNumberFormat="1" applyFont="1" applyFill="1" applyBorder="1" applyAlignment="1">
      <alignment horizontal="center"/>
    </xf>
    <xf numFmtId="3" fontId="21" fillId="8" borderId="6" xfId="0" applyNumberFormat="1" applyFont="1" applyFill="1" applyBorder="1" applyAlignment="1">
      <alignment horizontal="center"/>
    </xf>
    <xf numFmtId="37" fontId="20" fillId="0" borderId="8" xfId="42" applyNumberFormat="1" applyFont="1" applyFill="1" applyBorder="1" applyAlignment="1">
      <alignment horizontal="center"/>
    </xf>
    <xf numFmtId="0" fontId="21" fillId="8" borderId="12" xfId="0" applyFont="1" applyFill="1" applyBorder="1"/>
    <xf numFmtId="0" fontId="21" fillId="8" borderId="19" xfId="0" applyFont="1" applyFill="1" applyBorder="1" applyAlignment="1">
      <alignment horizontal="center"/>
    </xf>
    <xf numFmtId="0" fontId="21" fillId="8" borderId="20" xfId="0" applyFont="1" applyFill="1" applyBorder="1" applyAlignment="1">
      <alignment horizontal="center"/>
    </xf>
    <xf numFmtId="0" fontId="21" fillId="8" borderId="21" xfId="0" applyFont="1" applyFill="1" applyBorder="1" applyAlignment="1">
      <alignment horizontal="center"/>
    </xf>
    <xf numFmtId="3" fontId="20" fillId="8" borderId="4" xfId="0" applyNumberFormat="1" applyFont="1" applyFill="1" applyBorder="1" applyAlignment="1">
      <alignment horizontal="center"/>
    </xf>
    <xf numFmtId="183" fontId="20" fillId="8" borderId="4" xfId="1" applyNumberFormat="1" applyFont="1" applyFill="1" applyBorder="1" applyAlignment="1">
      <alignment horizontal="center"/>
    </xf>
    <xf numFmtId="0" fontId="8" fillId="6" borderId="0" xfId="2" applyFont="1" applyFill="1" applyBorder="1" applyAlignment="1" applyProtection="1">
      <alignment horizontal="center" vertical="center"/>
    </xf>
    <xf numFmtId="0" fontId="8" fillId="6" borderId="11" xfId="2" applyFont="1" applyFill="1" applyBorder="1" applyAlignment="1" applyProtection="1"/>
    <xf numFmtId="0" fontId="8" fillId="6" borderId="0" xfId="2" applyFont="1" applyFill="1" applyBorder="1" applyAlignment="1" applyProtection="1"/>
    <xf numFmtId="0" fontId="9" fillId="6" borderId="0" xfId="2" applyFont="1" applyFill="1" applyBorder="1" applyProtection="1"/>
    <xf numFmtId="0" fontId="7" fillId="6" borderId="0" xfId="2" applyFont="1" applyFill="1" applyBorder="1" applyProtection="1"/>
    <xf numFmtId="164" fontId="9" fillId="6" borderId="0" xfId="2" applyNumberFormat="1" applyFont="1" applyFill="1" applyBorder="1" applyProtection="1"/>
    <xf numFmtId="164" fontId="7" fillId="6" borderId="0" xfId="2" applyNumberFormat="1" applyFont="1" applyFill="1" applyBorder="1" applyProtection="1"/>
    <xf numFmtId="164" fontId="8" fillId="6" borderId="0" xfId="2" applyNumberFormat="1" applyFont="1" applyFill="1" applyBorder="1" applyProtection="1"/>
    <xf numFmtId="0" fontId="8" fillId="6" borderId="0" xfId="2" applyFont="1" applyFill="1" applyBorder="1" applyProtection="1"/>
    <xf numFmtId="3" fontId="9" fillId="6" borderId="0" xfId="2" applyNumberFormat="1" applyFont="1" applyFill="1" applyBorder="1" applyProtection="1"/>
    <xf numFmtId="0" fontId="20" fillId="6" borderId="0" xfId="0" applyFont="1" applyFill="1"/>
    <xf numFmtId="0" fontId="7" fillId="6" borderId="3" xfId="2" applyFont="1" applyFill="1" applyBorder="1" applyAlignment="1"/>
    <xf numFmtId="0" fontId="7" fillId="6" borderId="0" xfId="2" applyFont="1" applyFill="1"/>
    <xf numFmtId="0" fontId="7" fillId="6" borderId="0" xfId="2" applyFont="1" applyFill="1" applyAlignment="1">
      <alignment horizontal="left"/>
    </xf>
    <xf numFmtId="0" fontId="7" fillId="6" borderId="0" xfId="2" applyFont="1" applyFill="1" applyAlignment="1"/>
    <xf numFmtId="0" fontId="7" fillId="6" borderId="8" xfId="2" applyFont="1" applyFill="1" applyBorder="1" applyAlignment="1"/>
    <xf numFmtId="0" fontId="7" fillId="6" borderId="4" xfId="2" applyFont="1" applyFill="1" applyBorder="1" applyAlignment="1">
      <alignment horizontal="center"/>
    </xf>
    <xf numFmtId="0" fontId="7" fillId="6" borderId="8" xfId="2" applyFont="1" applyFill="1" applyBorder="1" applyAlignment="1">
      <alignment horizontal="center"/>
    </xf>
    <xf numFmtId="4" fontId="7" fillId="9" borderId="4" xfId="5" applyNumberFormat="1" applyFont="1" applyFill="1" applyBorder="1" applyAlignment="1">
      <alignment horizontal="center" vertical="center" wrapText="1"/>
    </xf>
    <xf numFmtId="0" fontId="20" fillId="9" borderId="5"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7" fillId="6" borderId="0" xfId="2" applyFont="1" applyFill="1" applyBorder="1" applyAlignment="1" applyProtection="1">
      <alignment horizontal="left"/>
    </xf>
    <xf numFmtId="0" fontId="18" fillId="6" borderId="0" xfId="2" applyFont="1" applyFill="1" applyAlignment="1">
      <alignment horizontal="left"/>
    </xf>
    <xf numFmtId="0" fontId="23" fillId="6" borderId="0" xfId="0" applyFont="1" applyFill="1"/>
    <xf numFmtId="0" fontId="20" fillId="6" borderId="4" xfId="0" applyFont="1" applyFill="1" applyBorder="1" applyAlignment="1">
      <alignment horizontal="center"/>
    </xf>
    <xf numFmtId="0" fontId="27" fillId="6" borderId="0" xfId="0" applyFont="1" applyFill="1"/>
    <xf numFmtId="0" fontId="27" fillId="6" borderId="0" xfId="0" applyFont="1" applyFill="1" applyAlignment="1">
      <alignment horizontal="center" vertical="center" wrapText="1"/>
    </xf>
    <xf numFmtId="9" fontId="20" fillId="6" borderId="4" xfId="1" applyFont="1" applyFill="1" applyBorder="1" applyAlignment="1">
      <alignment horizontal="center"/>
    </xf>
    <xf numFmtId="0" fontId="21" fillId="6" borderId="5" xfId="0" applyFont="1" applyFill="1" applyBorder="1" applyAlignment="1">
      <alignment horizontal="center"/>
    </xf>
    <xf numFmtId="9" fontId="20" fillId="6" borderId="5" xfId="1" applyFont="1" applyFill="1" applyBorder="1" applyAlignment="1">
      <alignment horizontal="center"/>
    </xf>
    <xf numFmtId="9" fontId="21" fillId="6" borderId="4" xfId="0" applyNumberFormat="1" applyFont="1" applyFill="1" applyBorder="1" applyAlignment="1">
      <alignment horizontal="center"/>
    </xf>
    <xf numFmtId="9" fontId="26" fillId="6" borderId="0" xfId="0" applyNumberFormat="1" applyFont="1" applyFill="1" applyBorder="1" applyAlignment="1">
      <alignment horizontal="center"/>
    </xf>
    <xf numFmtId="2" fontId="28" fillId="0" borderId="4" xfId="2" applyNumberFormat="1" applyFont="1" applyFill="1" applyBorder="1" applyAlignment="1" applyProtection="1">
      <alignment horizontal="center" vertical="center"/>
      <protection locked="0"/>
    </xf>
    <xf numFmtId="3" fontId="28" fillId="0" borderId="4" xfId="2" applyNumberFormat="1" applyFont="1" applyFill="1" applyBorder="1" applyAlignment="1" applyProtection="1">
      <alignment horizontal="center" vertical="center"/>
      <protection locked="0"/>
    </xf>
    <xf numFmtId="184" fontId="30" fillId="0" borderId="0" xfId="42" applyNumberFormat="1" applyFont="1"/>
    <xf numFmtId="184" fontId="7" fillId="8" borderId="5" xfId="42" applyNumberFormat="1" applyFont="1" applyFill="1" applyBorder="1" applyAlignment="1">
      <alignment horizontal="center" wrapText="1"/>
    </xf>
    <xf numFmtId="184" fontId="7" fillId="8" borderId="18" xfId="42" applyNumberFormat="1" applyFont="1" applyFill="1" applyBorder="1"/>
    <xf numFmtId="184" fontId="7" fillId="8" borderId="6" xfId="42" applyNumberFormat="1" applyFont="1" applyFill="1" applyBorder="1"/>
    <xf numFmtId="184" fontId="8" fillId="0" borderId="0" xfId="42" applyNumberFormat="1" applyFont="1"/>
    <xf numFmtId="0" fontId="31" fillId="0" borderId="0" xfId="0" applyFont="1"/>
    <xf numFmtId="184" fontId="7" fillId="8" borderId="18" xfId="42" applyNumberFormat="1" applyFont="1" applyFill="1" applyBorder="1" applyAlignment="1">
      <alignment horizontal="center"/>
    </xf>
    <xf numFmtId="39" fontId="8" fillId="9" borderId="5" xfId="42" applyNumberFormat="1" applyFont="1" applyFill="1" applyBorder="1" applyAlignment="1">
      <alignment horizontal="center"/>
    </xf>
    <xf numFmtId="39" fontId="8" fillId="9" borderId="16" xfId="42" applyNumberFormat="1" applyFont="1" applyFill="1" applyBorder="1" applyAlignment="1">
      <alignment horizontal="center"/>
    </xf>
    <xf numFmtId="10" fontId="30" fillId="10" borderId="4" xfId="1" applyNumberFormat="1" applyFont="1" applyFill="1" applyBorder="1"/>
    <xf numFmtId="10" fontId="30" fillId="0" borderId="4" xfId="1" applyNumberFormat="1" applyFont="1" applyFill="1" applyBorder="1"/>
    <xf numFmtId="10" fontId="30" fillId="0" borderId="4" xfId="1" applyNumberFormat="1" applyFont="1" applyBorder="1"/>
    <xf numFmtId="0" fontId="7" fillId="6" borderId="0" xfId="2" applyFont="1" applyFill="1" applyBorder="1" applyAlignment="1" applyProtection="1">
      <alignment horizontal="left"/>
    </xf>
    <xf numFmtId="184" fontId="7" fillId="8" borderId="18" xfId="42" applyNumberFormat="1" applyFont="1" applyFill="1" applyBorder="1" applyAlignment="1">
      <alignment horizontal="center"/>
    </xf>
    <xf numFmtId="183" fontId="28" fillId="0" borderId="4" xfId="1" applyNumberFormat="1" applyFont="1" applyFill="1" applyBorder="1" applyAlignment="1" applyProtection="1">
      <alignment horizontal="center" vertical="center"/>
      <protection locked="0"/>
    </xf>
    <xf numFmtId="0" fontId="3" fillId="6" borderId="0" xfId="2" applyFill="1"/>
    <xf numFmtId="0" fontId="0" fillId="6" borderId="0" xfId="0" applyFill="1"/>
    <xf numFmtId="0" fontId="3" fillId="6" borderId="0" xfId="2" applyFill="1" applyBorder="1" applyAlignment="1">
      <alignment horizontal="center"/>
    </xf>
    <xf numFmtId="0" fontId="3" fillId="6" borderId="0" xfId="2" applyFill="1" applyBorder="1" applyAlignment="1"/>
    <xf numFmtId="9" fontId="7" fillId="6" borderId="4" xfId="1" applyFont="1" applyFill="1" applyBorder="1" applyAlignment="1">
      <alignment horizontal="center"/>
    </xf>
    <xf numFmtId="0" fontId="18" fillId="6" borderId="0" xfId="2" applyFont="1" applyFill="1" applyAlignment="1">
      <alignment horizontal="center" vertical="center"/>
    </xf>
    <xf numFmtId="0" fontId="18" fillId="6" borderId="0" xfId="2" applyFont="1" applyFill="1"/>
    <xf numFmtId="184" fontId="7" fillId="8" borderId="18" xfId="42" applyNumberFormat="1" applyFont="1" applyFill="1" applyBorder="1" applyAlignment="1">
      <alignment horizontal="center"/>
    </xf>
    <xf numFmtId="184" fontId="7" fillId="8" borderId="6" xfId="42" applyNumberFormat="1" applyFont="1" applyFill="1" applyBorder="1" applyAlignment="1">
      <alignment horizontal="center"/>
    </xf>
    <xf numFmtId="0" fontId="31" fillId="0" borderId="0" xfId="0" applyFont="1" applyAlignment="1"/>
    <xf numFmtId="0" fontId="32" fillId="0" borderId="0" xfId="0" applyFont="1"/>
    <xf numFmtId="0" fontId="21" fillId="11" borderId="0" xfId="0" applyFont="1" applyFill="1"/>
    <xf numFmtId="0" fontId="20" fillId="11" borderId="0" xfId="0" applyFont="1" applyFill="1"/>
    <xf numFmtId="0" fontId="23" fillId="0" borderId="0" xfId="0" applyFont="1"/>
    <xf numFmtId="0" fontId="21" fillId="0" borderId="0" xfId="0" applyFont="1"/>
    <xf numFmtId="0" fontId="33" fillId="0" borderId="0" xfId="0" applyFont="1"/>
    <xf numFmtId="0" fontId="21" fillId="8" borderId="23" xfId="0" applyFont="1" applyFill="1" applyBorder="1" applyAlignment="1">
      <alignment horizontal="center"/>
    </xf>
    <xf numFmtId="0" fontId="21" fillId="8" borderId="24" xfId="0" applyFont="1" applyFill="1" applyBorder="1" applyAlignment="1">
      <alignment horizontal="center"/>
    </xf>
    <xf numFmtId="3" fontId="7" fillId="0" borderId="25" xfId="1" applyNumberFormat="1" applyFont="1" applyFill="1" applyBorder="1" applyAlignment="1">
      <alignment horizontal="center" vertical="center" wrapText="1"/>
    </xf>
    <xf numFmtId="3" fontId="7" fillId="0" borderId="22" xfId="1" applyNumberFormat="1" applyFont="1" applyFill="1" applyBorder="1" applyAlignment="1">
      <alignment horizontal="center" vertical="center" wrapText="1"/>
    </xf>
    <xf numFmtId="9" fontId="7" fillId="0" borderId="11" xfId="1" applyFont="1" applyFill="1" applyBorder="1" applyAlignment="1">
      <alignment horizontal="left" vertical="center" wrapText="1"/>
    </xf>
    <xf numFmtId="9" fontId="7" fillId="0" borderId="16" xfId="1" applyFont="1" applyFill="1" applyBorder="1" applyAlignment="1">
      <alignment horizontal="left" vertical="center" wrapText="1"/>
    </xf>
    <xf numFmtId="0" fontId="21" fillId="8" borderId="26" xfId="0" applyFont="1" applyFill="1" applyBorder="1" applyAlignment="1">
      <alignment horizontal="center"/>
    </xf>
    <xf numFmtId="0" fontId="7" fillId="9" borderId="11" xfId="2" applyFont="1" applyFill="1" applyBorder="1"/>
    <xf numFmtId="0" fontId="18" fillId="9" borderId="0" xfId="2" applyFont="1" applyFill="1" applyBorder="1"/>
    <xf numFmtId="0" fontId="18" fillId="9" borderId="8" xfId="2" applyFont="1" applyFill="1" applyBorder="1"/>
    <xf numFmtId="186" fontId="20" fillId="0" borderId="8" xfId="42" applyNumberFormat="1" applyFont="1" applyFill="1" applyBorder="1" applyAlignment="1">
      <alignment horizontal="center"/>
    </xf>
    <xf numFmtId="186" fontId="20" fillId="0" borderId="17" xfId="42" applyNumberFormat="1" applyFont="1" applyFill="1" applyBorder="1" applyAlignment="1">
      <alignment horizontal="center"/>
    </xf>
    <xf numFmtId="9" fontId="8" fillId="0" borderId="25" xfId="1" applyFont="1" applyFill="1" applyBorder="1" applyAlignment="1">
      <alignment horizontal="center" vertical="center" wrapText="1"/>
    </xf>
    <xf numFmtId="9" fontId="8" fillId="0" borderId="22" xfId="1" applyFont="1" applyFill="1" applyBorder="1" applyAlignment="1">
      <alignment horizontal="center" vertical="center" wrapText="1"/>
    </xf>
    <xf numFmtId="0" fontId="21" fillId="8" borderId="26" xfId="0" applyFont="1" applyFill="1" applyBorder="1" applyAlignment="1">
      <alignment horizontal="center" wrapText="1"/>
    </xf>
    <xf numFmtId="9" fontId="8" fillId="0" borderId="27" xfId="1" applyFont="1" applyFill="1" applyBorder="1" applyAlignment="1">
      <alignment horizontal="center" vertical="center" wrapText="1"/>
    </xf>
    <xf numFmtId="186" fontId="20" fillId="0" borderId="28" xfId="42" applyNumberFormat="1" applyFont="1" applyFill="1" applyBorder="1" applyAlignment="1">
      <alignment horizontal="center"/>
    </xf>
    <xf numFmtId="9" fontId="7" fillId="0" borderId="25" xfId="1" applyFont="1" applyFill="1" applyBorder="1" applyAlignment="1">
      <alignment horizontal="center" vertical="center" wrapText="1"/>
    </xf>
    <xf numFmtId="9" fontId="7" fillId="0" borderId="22" xfId="1" applyFont="1" applyFill="1" applyBorder="1" applyAlignment="1">
      <alignment horizontal="center" vertical="center" wrapText="1"/>
    </xf>
    <xf numFmtId="9" fontId="34" fillId="9" borderId="5" xfId="0" applyNumberFormat="1" applyFont="1" applyFill="1" applyBorder="1" applyAlignment="1">
      <alignment horizontal="center"/>
    </xf>
    <xf numFmtId="9" fontId="34" fillId="9" borderId="6" xfId="0" applyNumberFormat="1" applyFont="1" applyFill="1" applyBorder="1" applyAlignment="1">
      <alignment horizontal="center"/>
    </xf>
    <xf numFmtId="9" fontId="34" fillId="9" borderId="4" xfId="0" applyNumberFormat="1" applyFont="1" applyFill="1" applyBorder="1" applyAlignment="1">
      <alignment horizontal="center"/>
    </xf>
    <xf numFmtId="0" fontId="35" fillId="9" borderId="29" xfId="0" applyFont="1" applyFill="1" applyBorder="1"/>
    <xf numFmtId="0" fontId="35" fillId="9" borderId="30" xfId="0" applyFont="1" applyFill="1" applyBorder="1"/>
    <xf numFmtId="0" fontId="35" fillId="9" borderId="12" xfId="0" applyFont="1" applyFill="1" applyBorder="1"/>
    <xf numFmtId="3" fontId="8" fillId="0" borderId="27" xfId="1" applyNumberFormat="1" applyFont="1" applyFill="1" applyBorder="1" applyAlignment="1">
      <alignment horizontal="center" vertical="center" wrapText="1"/>
    </xf>
    <xf numFmtId="3" fontId="8" fillId="0" borderId="25" xfId="1" applyNumberFormat="1" applyFont="1" applyFill="1" applyBorder="1" applyAlignment="1">
      <alignment horizontal="center" vertical="center" wrapText="1"/>
    </xf>
    <xf numFmtId="3" fontId="8" fillId="0" borderId="22" xfId="1" applyNumberFormat="1" applyFont="1" applyFill="1" applyBorder="1" applyAlignment="1">
      <alignment horizontal="center" vertical="center" wrapText="1"/>
    </xf>
    <xf numFmtId="3" fontId="21" fillId="8" borderId="31" xfId="0" applyNumberFormat="1" applyFont="1" applyFill="1" applyBorder="1" applyAlignment="1">
      <alignment horizontal="center"/>
    </xf>
    <xf numFmtId="3" fontId="21" fillId="8" borderId="32" xfId="0" applyNumberFormat="1" applyFont="1" applyFill="1" applyBorder="1" applyAlignment="1">
      <alignment horizontal="center"/>
    </xf>
    <xf numFmtId="0" fontId="2" fillId="0" borderId="5" xfId="0" applyFont="1" applyBorder="1"/>
    <xf numFmtId="0" fontId="0" fillId="0" borderId="6" xfId="0" applyBorder="1"/>
    <xf numFmtId="184" fontId="30" fillId="0" borderId="11" xfId="42" applyNumberFormat="1" applyFont="1" applyBorder="1"/>
    <xf numFmtId="185" fontId="30" fillId="0" borderId="11" xfId="42" applyNumberFormat="1" applyFont="1" applyBorder="1"/>
    <xf numFmtId="165" fontId="30" fillId="0" borderId="11" xfId="42" applyNumberFormat="1" applyFont="1" applyBorder="1"/>
    <xf numFmtId="1" fontId="30" fillId="0" borderId="11" xfId="42" applyNumberFormat="1" applyFont="1" applyBorder="1"/>
    <xf numFmtId="1" fontId="30" fillId="0" borderId="16" xfId="42" applyNumberFormat="1" applyFont="1" applyBorder="1"/>
    <xf numFmtId="184" fontId="29" fillId="0" borderId="4" xfId="42" applyNumberFormat="1" applyFont="1" applyBorder="1" applyAlignment="1">
      <alignment horizontal="right"/>
    </xf>
    <xf numFmtId="184" fontId="29" fillId="0" borderId="4" xfId="42" applyNumberFormat="1" applyFont="1" applyBorder="1" applyAlignment="1">
      <alignment horizontal="center"/>
    </xf>
    <xf numFmtId="0" fontId="21" fillId="8" borderId="24" xfId="0" applyFont="1" applyFill="1" applyBorder="1" applyAlignment="1">
      <alignment horizontal="center" vertical="center" wrapText="1"/>
    </xf>
    <xf numFmtId="0" fontId="21" fillId="8" borderId="26" xfId="0" applyFont="1" applyFill="1" applyBorder="1" applyAlignment="1">
      <alignment horizontal="center" vertical="center" wrapText="1"/>
    </xf>
    <xf numFmtId="9" fontId="21" fillId="8" borderId="26" xfId="0" applyNumberFormat="1" applyFont="1" applyFill="1" applyBorder="1" applyAlignment="1">
      <alignment horizontal="center" vertical="center" wrapText="1"/>
    </xf>
    <xf numFmtId="9" fontId="25" fillId="6" borderId="0" xfId="1" applyFont="1" applyFill="1" applyBorder="1" applyAlignment="1" applyProtection="1">
      <alignment horizontal="center"/>
      <protection locked="0"/>
    </xf>
    <xf numFmtId="165" fontId="7" fillId="0" borderId="4" xfId="42" applyNumberFormat="1" applyFont="1" applyBorder="1" applyAlignment="1" applyProtection="1">
      <alignment horizontal="center"/>
      <protection locked="0"/>
    </xf>
    <xf numFmtId="1" fontId="7" fillId="0" borderId="4" xfId="42" applyNumberFormat="1" applyFont="1" applyBorder="1" applyAlignment="1" applyProtection="1">
      <alignment horizontal="center"/>
      <protection locked="0"/>
    </xf>
    <xf numFmtId="2" fontId="7" fillId="0" borderId="4" xfId="42" applyNumberFormat="1" applyFont="1" applyBorder="1" applyAlignment="1" applyProtection="1">
      <alignment horizontal="center"/>
      <protection locked="0"/>
    </xf>
    <xf numFmtId="165" fontId="7" fillId="0" borderId="22" xfId="42" applyNumberFormat="1" applyFont="1" applyBorder="1" applyAlignment="1" applyProtection="1">
      <alignment horizontal="center"/>
      <protection locked="0"/>
    </xf>
    <xf numFmtId="1" fontId="7" fillId="0" borderId="22" xfId="42" applyNumberFormat="1" applyFont="1" applyBorder="1" applyAlignment="1" applyProtection="1">
      <alignment horizontal="center"/>
      <protection locked="0"/>
    </xf>
    <xf numFmtId="2" fontId="7" fillId="0" borderId="22" xfId="42" applyNumberFormat="1" applyFont="1" applyBorder="1" applyAlignment="1" applyProtection="1">
      <alignment horizontal="center"/>
      <protection locked="0"/>
    </xf>
    <xf numFmtId="9" fontId="7" fillId="9" borderId="11" xfId="1" applyFont="1" applyFill="1" applyBorder="1" applyAlignment="1">
      <alignment horizontal="center" vertical="center" wrapText="1"/>
    </xf>
    <xf numFmtId="37" fontId="20" fillId="9" borderId="8" xfId="42" applyNumberFormat="1" applyFont="1" applyFill="1" applyBorder="1" applyAlignment="1">
      <alignment horizontal="center"/>
    </xf>
    <xf numFmtId="2" fontId="7" fillId="9" borderId="0" xfId="5" applyNumberFormat="1" applyFont="1" applyFill="1" applyBorder="1" applyAlignment="1">
      <alignment horizontal="center" vertical="center" wrapText="1"/>
    </xf>
    <xf numFmtId="3" fontId="20" fillId="9" borderId="8" xfId="0" applyNumberFormat="1" applyFont="1" applyFill="1" applyBorder="1" applyAlignment="1">
      <alignment horizontal="center"/>
    </xf>
    <xf numFmtId="4" fontId="20" fillId="9" borderId="0" xfId="0" applyNumberFormat="1" applyFont="1" applyFill="1" applyBorder="1" applyAlignment="1">
      <alignment horizontal="center"/>
    </xf>
    <xf numFmtId="0" fontId="36" fillId="0" borderId="0" xfId="0" applyFont="1"/>
    <xf numFmtId="184" fontId="29" fillId="2" borderId="5" xfId="42" applyNumberFormat="1" applyFont="1" applyFill="1" applyBorder="1" applyAlignment="1">
      <alignment vertical="center"/>
    </xf>
    <xf numFmtId="184" fontId="29" fillId="2" borderId="18" xfId="42" applyNumberFormat="1" applyFont="1" applyFill="1" applyBorder="1" applyAlignment="1">
      <alignment vertical="center"/>
    </xf>
    <xf numFmtId="184" fontId="29" fillId="2" borderId="6" xfId="42" applyNumberFormat="1" applyFont="1" applyFill="1" applyBorder="1" applyAlignment="1">
      <alignment vertical="center"/>
    </xf>
    <xf numFmtId="184" fontId="37" fillId="0" borderId="0" xfId="42" applyNumberFormat="1" applyFont="1" applyBorder="1" applyAlignment="1">
      <alignment horizontal="center"/>
    </xf>
    <xf numFmtId="10" fontId="38" fillId="0" borderId="0" xfId="1" applyNumberFormat="1" applyFont="1" applyBorder="1"/>
    <xf numFmtId="164" fontId="41" fillId="6" borderId="0" xfId="2" applyNumberFormat="1" applyFont="1" applyFill="1" applyBorder="1" applyProtection="1"/>
    <xf numFmtId="2" fontId="28" fillId="6" borderId="0" xfId="2" applyNumberFormat="1" applyFont="1" applyFill="1" applyBorder="1" applyAlignment="1" applyProtection="1">
      <alignment horizontal="center" vertical="center"/>
      <protection locked="0"/>
    </xf>
    <xf numFmtId="4" fontId="8" fillId="6" borderId="0" xfId="5" applyNumberFormat="1" applyFont="1" applyFill="1" applyBorder="1" applyAlignment="1">
      <alignment horizontal="center" vertical="center" wrapText="1"/>
    </xf>
    <xf numFmtId="0" fontId="39" fillId="6" borderId="0" xfId="2" applyFont="1" applyFill="1" applyBorder="1" applyAlignment="1">
      <alignment horizontal="center"/>
    </xf>
    <xf numFmtId="0" fontId="39" fillId="6" borderId="0" xfId="2" applyFont="1" applyFill="1" applyBorder="1"/>
    <xf numFmtId="0" fontId="39" fillId="6" borderId="0" xfId="2" applyFont="1" applyFill="1" applyBorder="1" applyAlignment="1">
      <alignment horizontal="left"/>
    </xf>
    <xf numFmtId="0" fontId="7" fillId="6" borderId="0" xfId="2" applyFont="1" applyFill="1" applyBorder="1" applyAlignment="1"/>
    <xf numFmtId="0" fontId="42" fillId="6" borderId="0" xfId="0" applyFont="1" applyFill="1" applyBorder="1"/>
    <xf numFmtId="0" fontId="39" fillId="6" borderId="0" xfId="0" applyFont="1" applyFill="1" applyBorder="1"/>
    <xf numFmtId="0" fontId="39" fillId="6" borderId="0" xfId="0" applyFont="1" applyFill="1" applyBorder="1" applyAlignment="1">
      <alignment horizontal="center"/>
    </xf>
    <xf numFmtId="10" fontId="7" fillId="6" borderId="0" xfId="1" applyNumberFormat="1" applyFont="1" applyFill="1" applyBorder="1" applyAlignment="1" applyProtection="1">
      <alignment horizontal="center" vertical="center"/>
    </xf>
    <xf numFmtId="10" fontId="7" fillId="6" borderId="0" xfId="1" applyNumberFormat="1" applyFont="1" applyFill="1" applyBorder="1" applyAlignment="1" applyProtection="1">
      <alignment horizontal="center" vertical="center"/>
      <protection locked="0"/>
    </xf>
    <xf numFmtId="0" fontId="43" fillId="11" borderId="0" xfId="0" applyFont="1" applyFill="1"/>
    <xf numFmtId="9" fontId="46" fillId="7" borderId="4" xfId="1" applyFont="1" applyFill="1" applyBorder="1" applyAlignment="1" applyProtection="1">
      <alignment horizontal="center"/>
      <protection locked="0"/>
    </xf>
    <xf numFmtId="0" fontId="44" fillId="10" borderId="0" xfId="0" applyFont="1" applyFill="1"/>
    <xf numFmtId="0" fontId="20" fillId="10" borderId="0" xfId="0" applyFont="1" applyFill="1"/>
    <xf numFmtId="0" fontId="21" fillId="10" borderId="0" xfId="0" applyFont="1" applyFill="1"/>
    <xf numFmtId="0" fontId="20" fillId="10" borderId="0" xfId="0" applyFont="1" applyFill="1" applyAlignment="1">
      <alignment horizontal="center"/>
    </xf>
    <xf numFmtId="9" fontId="8" fillId="10" borderId="0" xfId="0" applyNumberFormat="1" applyFont="1" applyFill="1" applyBorder="1" applyAlignment="1">
      <alignment horizontal="center"/>
    </xf>
    <xf numFmtId="0" fontId="20" fillId="10" borderId="0" xfId="0" applyFont="1" applyFill="1" applyBorder="1" applyAlignment="1">
      <alignment vertical="top" wrapText="1"/>
    </xf>
    <xf numFmtId="0" fontId="7" fillId="6" borderId="0" xfId="2" applyFont="1" applyFill="1" applyBorder="1" applyAlignment="1" applyProtection="1">
      <alignment horizontal="left" vertical="center"/>
    </xf>
    <xf numFmtId="3" fontId="7" fillId="0" borderId="4" xfId="2" applyNumberFormat="1" applyFont="1" applyFill="1" applyBorder="1" applyAlignment="1" applyProtection="1">
      <alignment horizontal="center" vertical="center"/>
    </xf>
    <xf numFmtId="2" fontId="7" fillId="0" borderId="4" xfId="2" applyNumberFormat="1" applyFont="1" applyFill="1" applyBorder="1" applyAlignment="1" applyProtection="1">
      <alignment horizontal="center" vertical="center"/>
      <protection locked="0"/>
    </xf>
    <xf numFmtId="3" fontId="7" fillId="0" borderId="4" xfId="2" applyNumberFormat="1" applyFont="1" applyFill="1" applyBorder="1" applyAlignment="1" applyProtection="1">
      <alignment horizontal="center" vertical="center"/>
      <protection locked="0"/>
    </xf>
    <xf numFmtId="188" fontId="20" fillId="10" borderId="0" xfId="0" applyNumberFormat="1" applyFont="1" applyFill="1" applyBorder="1" applyAlignment="1">
      <alignment horizontal="left"/>
    </xf>
    <xf numFmtId="187" fontId="20" fillId="10" borderId="0" xfId="0" applyNumberFormat="1" applyFont="1" applyFill="1" applyBorder="1" applyAlignment="1">
      <alignment horizontal="left"/>
    </xf>
    <xf numFmtId="0" fontId="43" fillId="10" borderId="0" xfId="0" applyFont="1" applyFill="1"/>
    <xf numFmtId="0" fontId="34" fillId="10" borderId="0" xfId="0" applyFont="1" applyFill="1"/>
    <xf numFmtId="0" fontId="45" fillId="11" borderId="4" xfId="0" applyFont="1" applyFill="1" applyBorder="1" applyProtection="1">
      <protection locked="0"/>
    </xf>
    <xf numFmtId="4" fontId="45" fillId="11" borderId="4" xfId="0" applyNumberFormat="1" applyFont="1" applyFill="1" applyBorder="1" applyAlignment="1" applyProtection="1">
      <alignment horizontal="center"/>
      <protection locked="0"/>
    </xf>
    <xf numFmtId="3" fontId="45" fillId="11" borderId="4" xfId="0" applyNumberFormat="1" applyFont="1" applyFill="1" applyBorder="1" applyAlignment="1" applyProtection="1">
      <alignment horizontal="center"/>
      <protection locked="0"/>
    </xf>
    <xf numFmtId="3" fontId="21" fillId="10" borderId="4" xfId="0" applyNumberFormat="1" applyFont="1" applyFill="1" applyBorder="1" applyAlignment="1">
      <alignment horizontal="center"/>
    </xf>
    <xf numFmtId="189" fontId="21" fillId="10" borderId="4" xfId="0" applyNumberFormat="1" applyFont="1" applyFill="1" applyBorder="1" applyAlignment="1">
      <alignment horizontal="center"/>
    </xf>
    <xf numFmtId="0" fontId="45" fillId="12" borderId="4" xfId="0" applyFont="1" applyFill="1" applyBorder="1" applyAlignment="1" applyProtection="1">
      <alignment horizontal="center"/>
      <protection locked="0"/>
    </xf>
    <xf numFmtId="0" fontId="20" fillId="10" borderId="0" xfId="0" applyFont="1" applyFill="1" applyAlignment="1">
      <alignment horizontal="left"/>
    </xf>
    <xf numFmtId="0" fontId="20" fillId="10" borderId="0" xfId="0" applyFont="1" applyFill="1" applyBorder="1" applyAlignment="1">
      <alignment vertical="top"/>
    </xf>
    <xf numFmtId="0" fontId="20" fillId="10" borderId="0" xfId="0" applyFont="1" applyFill="1" applyBorder="1"/>
    <xf numFmtId="0" fontId="7" fillId="10" borderId="0" xfId="0" applyFont="1" applyFill="1"/>
    <xf numFmtId="184" fontId="37" fillId="0" borderId="0" xfId="42" applyNumberFormat="1" applyFont="1" applyBorder="1" applyAlignment="1"/>
    <xf numFmtId="39" fontId="29" fillId="0" borderId="4" xfId="42" applyNumberFormat="1" applyFont="1" applyBorder="1" applyAlignment="1">
      <alignment horizontal="center"/>
    </xf>
    <xf numFmtId="0" fontId="21" fillId="6" borderId="4" xfId="0" applyFont="1" applyFill="1" applyBorder="1" applyAlignment="1">
      <alignment horizontal="center"/>
    </xf>
    <xf numFmtId="0" fontId="43" fillId="7" borderId="0" xfId="0" applyFont="1" applyFill="1" applyAlignment="1">
      <alignment horizontal="right"/>
    </xf>
    <xf numFmtId="0" fontId="0" fillId="7" borderId="0" xfId="0" applyFill="1"/>
    <xf numFmtId="0" fontId="20" fillId="0" borderId="0" xfId="0" applyFont="1" applyAlignment="1">
      <alignment horizontal="left" vertical="top" wrapText="1"/>
    </xf>
    <xf numFmtId="0" fontId="21" fillId="0" borderId="0" xfId="0" applyFont="1" applyAlignment="1">
      <alignment horizontal="left" vertical="center"/>
    </xf>
    <xf numFmtId="0" fontId="21" fillId="0" borderId="0" xfId="0" applyFont="1" applyAlignment="1">
      <alignment horizontal="left"/>
    </xf>
    <xf numFmtId="0" fontId="20" fillId="7" borderId="29" xfId="0" applyFont="1" applyFill="1" applyBorder="1" applyAlignment="1">
      <alignment horizontal="left" vertical="top" wrapText="1"/>
    </xf>
    <xf numFmtId="0" fontId="20" fillId="7" borderId="30" xfId="0" applyFont="1" applyFill="1" applyBorder="1" applyAlignment="1">
      <alignment horizontal="left" vertical="top" wrapText="1"/>
    </xf>
    <xf numFmtId="0" fontId="20" fillId="7" borderId="12" xfId="0" applyFont="1" applyFill="1" applyBorder="1" applyAlignment="1">
      <alignment horizontal="left" vertical="top" wrapText="1"/>
    </xf>
    <xf numFmtId="0" fontId="20" fillId="7" borderId="11" xfId="0" applyFont="1" applyFill="1" applyBorder="1" applyAlignment="1">
      <alignment horizontal="left" vertical="top" wrapText="1"/>
    </xf>
    <xf numFmtId="0" fontId="20" fillId="7" borderId="0" xfId="0" applyFont="1" applyFill="1" applyBorder="1" applyAlignment="1">
      <alignment horizontal="left" vertical="top" wrapText="1"/>
    </xf>
    <xf numFmtId="0" fontId="20" fillId="7" borderId="8" xfId="0" applyFont="1" applyFill="1" applyBorder="1" applyAlignment="1">
      <alignment horizontal="left" vertical="top" wrapText="1"/>
    </xf>
    <xf numFmtId="0" fontId="20" fillId="7" borderId="16" xfId="0" applyFont="1" applyFill="1" applyBorder="1" applyAlignment="1">
      <alignment horizontal="left" vertical="top" wrapText="1"/>
    </xf>
    <xf numFmtId="0" fontId="20" fillId="7" borderId="14" xfId="0" applyFont="1" applyFill="1" applyBorder="1" applyAlignment="1">
      <alignment horizontal="left" vertical="top" wrapText="1"/>
    </xf>
    <xf numFmtId="0" fontId="20" fillId="7" borderId="17" xfId="0" applyFont="1" applyFill="1" applyBorder="1" applyAlignment="1">
      <alignment horizontal="left" vertical="top" wrapText="1"/>
    </xf>
    <xf numFmtId="0" fontId="23" fillId="10" borderId="0" xfId="0" applyFont="1" applyFill="1" applyAlignment="1">
      <alignment horizontal="left" vertical="top" wrapText="1"/>
    </xf>
    <xf numFmtId="0" fontId="45" fillId="11" borderId="4" xfId="0" applyFont="1" applyFill="1" applyBorder="1" applyAlignment="1" applyProtection="1">
      <alignment horizontal="left" vertical="top" wrapText="1"/>
      <protection locked="0"/>
    </xf>
    <xf numFmtId="0" fontId="20" fillId="10" borderId="0" xfId="0" applyFont="1" applyFill="1" applyAlignment="1">
      <alignment horizontal="left" vertical="top" wrapText="1"/>
    </xf>
    <xf numFmtId="0" fontId="45" fillId="11" borderId="4" xfId="0" applyFont="1" applyFill="1" applyBorder="1" applyAlignment="1" applyProtection="1">
      <alignment horizontal="left"/>
      <protection locked="0"/>
    </xf>
    <xf numFmtId="184" fontId="29" fillId="0" borderId="5" xfId="42" applyNumberFormat="1" applyFont="1" applyBorder="1" applyAlignment="1">
      <alignment horizontal="center"/>
    </xf>
    <xf numFmtId="184" fontId="29" fillId="0" borderId="6" xfId="42" applyNumberFormat="1" applyFont="1" applyBorder="1" applyAlignment="1">
      <alignment horizontal="center"/>
    </xf>
    <xf numFmtId="0" fontId="8" fillId="9" borderId="9" xfId="2" applyFont="1" applyFill="1" applyBorder="1" applyAlignment="1" applyProtection="1">
      <alignment horizontal="center" vertical="center"/>
    </xf>
    <xf numFmtId="0" fontId="8" fillId="9" borderId="1" xfId="2" applyFont="1" applyFill="1" applyBorder="1" applyAlignment="1" applyProtection="1">
      <alignment horizontal="center" vertical="center"/>
    </xf>
    <xf numFmtId="0" fontId="8" fillId="9" borderId="10" xfId="2" applyFont="1" applyFill="1" applyBorder="1" applyAlignment="1" applyProtection="1">
      <alignment horizontal="center" vertical="center"/>
    </xf>
    <xf numFmtId="0" fontId="7" fillId="6" borderId="5" xfId="2" applyFont="1" applyFill="1" applyBorder="1" applyAlignment="1" applyProtection="1">
      <alignment horizontal="center"/>
    </xf>
    <xf numFmtId="0" fontId="7" fillId="6" borderId="18" xfId="2" applyFont="1" applyFill="1" applyBorder="1" applyAlignment="1" applyProtection="1">
      <alignment horizontal="center"/>
    </xf>
    <xf numFmtId="0" fontId="7" fillId="6" borderId="6" xfId="2" applyFont="1" applyFill="1" applyBorder="1" applyAlignment="1" applyProtection="1">
      <alignment horizontal="center"/>
    </xf>
    <xf numFmtId="184" fontId="7" fillId="8" borderId="18" xfId="42" applyNumberFormat="1" applyFont="1" applyFill="1" applyBorder="1" applyAlignment="1">
      <alignment horizontal="center"/>
    </xf>
    <xf numFmtId="184" fontId="7" fillId="8" borderId="6" xfId="42" applyNumberFormat="1" applyFont="1" applyFill="1" applyBorder="1" applyAlignment="1">
      <alignment horizontal="center"/>
    </xf>
    <xf numFmtId="2" fontId="30" fillId="0" borderId="5" xfId="42" applyNumberFormat="1" applyFont="1" applyBorder="1" applyAlignment="1" applyProtection="1">
      <alignment horizontal="center"/>
      <protection locked="0"/>
    </xf>
    <xf numFmtId="2" fontId="30" fillId="0" borderId="6" xfId="42" applyNumberFormat="1" applyFont="1" applyBorder="1" applyAlignment="1" applyProtection="1">
      <alignment horizontal="center"/>
      <protection locked="0"/>
    </xf>
    <xf numFmtId="0" fontId="21" fillId="9" borderId="9" xfId="0" applyFont="1" applyFill="1" applyBorder="1" applyAlignment="1">
      <alignment horizontal="center" wrapText="1"/>
    </xf>
    <xf numFmtId="0" fontId="21" fillId="9" borderId="1" xfId="0" applyFont="1" applyFill="1" applyBorder="1" applyAlignment="1">
      <alignment horizontal="center" wrapText="1"/>
    </xf>
    <xf numFmtId="0" fontId="21" fillId="9" borderId="10" xfId="0" applyFont="1" applyFill="1" applyBorder="1" applyAlignment="1">
      <alignment horizontal="center" wrapText="1"/>
    </xf>
    <xf numFmtId="0" fontId="8" fillId="8" borderId="9" xfId="2" applyFont="1" applyFill="1" applyBorder="1" applyAlignment="1" applyProtection="1">
      <alignment horizontal="center" vertical="center"/>
    </xf>
    <xf numFmtId="0" fontId="8" fillId="8" borderId="1" xfId="2" applyFont="1" applyFill="1" applyBorder="1" applyAlignment="1" applyProtection="1">
      <alignment horizontal="center" vertical="center"/>
    </xf>
    <xf numFmtId="0" fontId="8" fillId="8" borderId="10" xfId="2" applyFont="1" applyFill="1" applyBorder="1" applyAlignment="1" applyProtection="1">
      <alignment horizontal="center" vertical="center"/>
    </xf>
    <xf numFmtId="0" fontId="7" fillId="7" borderId="5" xfId="0" applyFont="1" applyFill="1" applyBorder="1" applyAlignment="1" applyProtection="1">
      <alignment horizontal="center"/>
      <protection locked="0"/>
    </xf>
    <xf numFmtId="0" fontId="7" fillId="7" borderId="18" xfId="0" applyFont="1" applyFill="1" applyBorder="1" applyAlignment="1" applyProtection="1">
      <alignment horizontal="center"/>
      <protection locked="0"/>
    </xf>
    <xf numFmtId="0" fontId="7" fillId="7" borderId="6" xfId="0" applyFont="1" applyFill="1" applyBorder="1" applyAlignment="1" applyProtection="1">
      <alignment horizontal="center"/>
      <protection locked="0"/>
    </xf>
    <xf numFmtId="164" fontId="42" fillId="6" borderId="0" xfId="2" applyNumberFormat="1" applyFont="1" applyFill="1" applyBorder="1" applyAlignment="1" applyProtection="1">
      <alignment horizontal="left" vertical="top" wrapText="1"/>
    </xf>
    <xf numFmtId="164" fontId="42" fillId="6" borderId="7" xfId="2" applyNumberFormat="1" applyFont="1" applyFill="1" applyBorder="1" applyAlignment="1" applyProtection="1">
      <alignment horizontal="left" vertical="top" wrapText="1"/>
    </xf>
    <xf numFmtId="0" fontId="21" fillId="8" borderId="5" xfId="0" applyFont="1" applyFill="1" applyBorder="1" applyAlignment="1">
      <alignment horizontal="center"/>
    </xf>
    <xf numFmtId="0" fontId="21" fillId="8" borderId="6" xfId="0" applyFont="1" applyFill="1" applyBorder="1" applyAlignment="1">
      <alignment horizontal="center"/>
    </xf>
    <xf numFmtId="0" fontId="21" fillId="8" borderId="18" xfId="0" applyFont="1" applyFill="1" applyBorder="1" applyAlignment="1">
      <alignment horizontal="center"/>
    </xf>
    <xf numFmtId="0" fontId="8" fillId="9" borderId="3" xfId="2" applyFont="1" applyFill="1" applyBorder="1" applyAlignment="1" applyProtection="1">
      <alignment horizontal="center" vertical="center"/>
    </xf>
    <xf numFmtId="0" fontId="39" fillId="6" borderId="0" xfId="2" applyFont="1" applyFill="1" applyBorder="1" applyAlignment="1" applyProtection="1">
      <alignment horizontal="left"/>
    </xf>
    <xf numFmtId="0" fontId="7" fillId="6" borderId="0" xfId="2" applyFont="1" applyFill="1" applyBorder="1" applyAlignment="1" applyProtection="1">
      <alignment horizontal="left"/>
    </xf>
    <xf numFmtId="0" fontId="19" fillId="6" borderId="0" xfId="2" applyFont="1" applyFill="1" applyBorder="1" applyAlignment="1" applyProtection="1">
      <alignment horizontal="left"/>
    </xf>
    <xf numFmtId="0" fontId="19" fillId="6" borderId="8" xfId="2" applyFont="1" applyFill="1" applyBorder="1" applyAlignment="1" applyProtection="1">
      <alignment horizontal="left"/>
    </xf>
    <xf numFmtId="0" fontId="7" fillId="6" borderId="4" xfId="2" applyFont="1" applyFill="1" applyBorder="1" applyAlignment="1" applyProtection="1">
      <alignment horizontal="center"/>
    </xf>
    <xf numFmtId="0" fontId="8" fillId="2" borderId="9" xfId="2" applyFont="1" applyFill="1" applyBorder="1" applyAlignment="1" applyProtection="1">
      <alignment horizontal="center" vertical="center"/>
    </xf>
    <xf numFmtId="0" fontId="8" fillId="2" borderId="1" xfId="2" applyFont="1" applyFill="1" applyBorder="1" applyAlignment="1" applyProtection="1">
      <alignment horizontal="center" vertical="center"/>
    </xf>
    <xf numFmtId="0" fontId="8" fillId="2" borderId="10" xfId="2" applyFont="1" applyFill="1" applyBorder="1" applyAlignment="1" applyProtection="1">
      <alignment horizontal="center" vertical="center"/>
    </xf>
    <xf numFmtId="0" fontId="7" fillId="6" borderId="8" xfId="2" applyFont="1" applyFill="1" applyBorder="1" applyAlignment="1" applyProtection="1">
      <alignment horizontal="left"/>
    </xf>
    <xf numFmtId="0" fontId="28" fillId="7" borderId="5" xfId="0" applyFont="1" applyFill="1" applyBorder="1" applyAlignment="1" applyProtection="1">
      <alignment horizontal="center"/>
      <protection locked="0"/>
    </xf>
    <xf numFmtId="0" fontId="28" fillId="7" borderId="18" xfId="0" applyFont="1" applyFill="1" applyBorder="1" applyAlignment="1" applyProtection="1">
      <alignment horizontal="center"/>
      <protection locked="0"/>
    </xf>
    <xf numFmtId="0" fontId="28" fillId="7" borderId="6" xfId="0" applyFont="1" applyFill="1" applyBorder="1" applyAlignment="1" applyProtection="1">
      <alignment horizontal="center"/>
      <protection locked="0"/>
    </xf>
    <xf numFmtId="164" fontId="18" fillId="6" borderId="0" xfId="2" applyNumberFormat="1" applyFont="1" applyFill="1" applyBorder="1" applyAlignment="1" applyProtection="1">
      <alignment horizontal="left" vertical="top" wrapText="1"/>
    </xf>
    <xf numFmtId="164" fontId="18" fillId="6" borderId="7" xfId="2" applyNumberFormat="1" applyFont="1" applyFill="1" applyBorder="1" applyAlignment="1" applyProtection="1">
      <alignment horizontal="left" vertical="top" wrapText="1"/>
    </xf>
    <xf numFmtId="0" fontId="21" fillId="9" borderId="9" xfId="0" applyFont="1" applyFill="1" applyBorder="1" applyAlignment="1">
      <alignment horizontal="center"/>
    </xf>
    <xf numFmtId="0" fontId="21" fillId="9" borderId="1" xfId="0" applyFont="1" applyFill="1" applyBorder="1" applyAlignment="1">
      <alignment horizontal="center"/>
    </xf>
    <xf numFmtId="0" fontId="21" fillId="9" borderId="10" xfId="0" applyFont="1" applyFill="1" applyBorder="1" applyAlignment="1">
      <alignment horizontal="center"/>
    </xf>
    <xf numFmtId="0" fontId="28" fillId="7" borderId="5" xfId="2" applyFont="1" applyFill="1" applyBorder="1" applyAlignment="1" applyProtection="1">
      <alignment horizontal="center"/>
      <protection locked="0"/>
    </xf>
    <xf numFmtId="0" fontId="28" fillId="7" borderId="18" xfId="2" applyFont="1" applyFill="1" applyBorder="1" applyAlignment="1" applyProtection="1">
      <alignment horizontal="center"/>
      <protection locked="0"/>
    </xf>
    <xf numFmtId="0" fontId="28" fillId="7" borderId="6" xfId="2" applyFont="1" applyFill="1" applyBorder="1" applyAlignment="1" applyProtection="1">
      <alignment horizontal="center"/>
      <protection locked="0"/>
    </xf>
    <xf numFmtId="184" fontId="29" fillId="2" borderId="5" xfId="42" applyNumberFormat="1" applyFont="1" applyFill="1" applyBorder="1" applyAlignment="1">
      <alignment horizontal="center" vertical="center"/>
    </xf>
    <xf numFmtId="184" fontId="29" fillId="2" borderId="18" xfId="42" applyNumberFormat="1" applyFont="1" applyFill="1" applyBorder="1" applyAlignment="1">
      <alignment horizontal="center" vertical="center"/>
    </xf>
    <xf numFmtId="184" fontId="29" fillId="2" borderId="6" xfId="42" applyNumberFormat="1" applyFont="1" applyFill="1" applyBorder="1" applyAlignment="1">
      <alignment horizontal="center" vertical="center"/>
    </xf>
    <xf numFmtId="184" fontId="29" fillId="0" borderId="16" xfId="42" applyNumberFormat="1" applyFont="1" applyBorder="1" applyAlignment="1">
      <alignment horizontal="center"/>
    </xf>
    <xf numFmtId="184" fontId="29" fillId="0" borderId="17" xfId="42" applyNumberFormat="1" applyFont="1" applyBorder="1" applyAlignment="1">
      <alignment horizontal="center"/>
    </xf>
    <xf numFmtId="0" fontId="4" fillId="2" borderId="9" xfId="2" applyFont="1" applyFill="1" applyBorder="1" applyAlignment="1" applyProtection="1">
      <alignment horizontal="center" vertical="center"/>
    </xf>
    <xf numFmtId="0" fontId="4" fillId="2" borderId="1" xfId="2" applyFont="1" applyFill="1" applyBorder="1" applyAlignment="1" applyProtection="1">
      <alignment horizontal="center" vertical="center"/>
    </xf>
    <xf numFmtId="0" fontId="4" fillId="2" borderId="10" xfId="2" applyFont="1" applyFill="1" applyBorder="1" applyAlignment="1" applyProtection="1">
      <alignment horizontal="center" vertical="center"/>
    </xf>
    <xf numFmtId="0" fontId="28" fillId="7" borderId="5" xfId="2" applyFont="1" applyFill="1" applyBorder="1" applyAlignment="1" applyProtection="1">
      <alignment horizontal="center" vertical="center"/>
      <protection locked="0"/>
    </xf>
    <xf numFmtId="0" fontId="28" fillId="7" borderId="18" xfId="2" applyFont="1" applyFill="1" applyBorder="1" applyAlignment="1" applyProtection="1">
      <alignment horizontal="center" vertical="center"/>
      <protection locked="0"/>
    </xf>
    <xf numFmtId="0" fontId="28" fillId="7" borderId="6" xfId="2" applyFont="1" applyFill="1" applyBorder="1" applyAlignment="1" applyProtection="1">
      <alignment horizontal="center" vertical="center"/>
      <protection locked="0"/>
    </xf>
    <xf numFmtId="0" fontId="5" fillId="6" borderId="11" xfId="2" applyFont="1" applyFill="1" applyBorder="1" applyAlignment="1" applyProtection="1">
      <alignment horizontal="left"/>
    </xf>
    <xf numFmtId="0" fontId="5" fillId="6" borderId="0" xfId="2" applyFont="1" applyFill="1" applyBorder="1" applyAlignment="1" applyProtection="1">
      <alignment horizontal="left"/>
    </xf>
    <xf numFmtId="0" fontId="8" fillId="0" borderId="5" xfId="2" applyFont="1" applyBorder="1" applyAlignment="1">
      <alignment horizontal="center"/>
    </xf>
    <xf numFmtId="0" fontId="8" fillId="0" borderId="18" xfId="2" applyFont="1" applyBorder="1" applyAlignment="1">
      <alignment horizontal="center"/>
    </xf>
    <xf numFmtId="0" fontId="8" fillId="0" borderId="6" xfId="2" applyFont="1" applyBorder="1" applyAlignment="1">
      <alignment horizontal="center"/>
    </xf>
    <xf numFmtId="3" fontId="21" fillId="8" borderId="29" xfId="0" applyNumberFormat="1" applyFont="1" applyFill="1" applyBorder="1" applyAlignment="1">
      <alignment horizontal="center"/>
    </xf>
    <xf numFmtId="3" fontId="21" fillId="8" borderId="19" xfId="0" applyNumberFormat="1" applyFont="1" applyFill="1" applyBorder="1" applyAlignment="1">
      <alignment horizontal="center"/>
    </xf>
  </cellXfs>
  <cellStyles count="43">
    <cellStyle name="_x0010_“+ˆÉ•?pý¤" xfId="5"/>
    <cellStyle name="Actual Date" xfId="6"/>
    <cellStyle name="Center" xfId="7"/>
    <cellStyle name="Comma" xfId="42" builtinId="3"/>
    <cellStyle name="Comma 2" xfId="8"/>
    <cellStyle name="Currency 2" xfId="9"/>
    <cellStyle name="Date" xfId="10"/>
    <cellStyle name="eemdata" xfId="11"/>
    <cellStyle name="eqptdensity" xfId="12"/>
    <cellStyle name="Fixed" xfId="13"/>
    <cellStyle name="gal" xfId="14"/>
    <cellStyle name="Grey" xfId="15"/>
    <cellStyle name="HEADER" xfId="16"/>
    <cellStyle name="Heading1" xfId="17"/>
    <cellStyle name="Heading2" xfId="18"/>
    <cellStyle name="HIGHLIGHT" xfId="19"/>
    <cellStyle name="HP" xfId="20"/>
    <cellStyle name="Hyperlink" xfId="3" builtinId="8"/>
    <cellStyle name="Input [yellow]" xfId="21"/>
    <cellStyle name="kBtuh" xfId="22"/>
    <cellStyle name="kW" xfId="23"/>
    <cellStyle name="kWh" xfId="24"/>
    <cellStyle name="no dec" xfId="25"/>
    <cellStyle name="Normal" xfId="0" builtinId="0"/>
    <cellStyle name="Normal - Style1" xfId="26"/>
    <cellStyle name="Normal 2" xfId="2"/>
    <cellStyle name="Normal 3" xfId="4"/>
    <cellStyle name="Normal 4" xfId="38"/>
    <cellStyle name="Normal 5" xfId="41"/>
    <cellStyle name="Percent" xfId="1" builtinId="5"/>
    <cellStyle name="Percent [2]" xfId="28"/>
    <cellStyle name="Percent 2" xfId="27"/>
    <cellStyle name="Percent 3" xfId="40"/>
    <cellStyle name="Percent 4" xfId="39"/>
    <cellStyle name="rpm" xfId="29"/>
    <cellStyle name="therms" xfId="30"/>
    <cellStyle name="ton" xfId="31"/>
    <cellStyle name="Total 2" xfId="32"/>
    <cellStyle name="Unprot" xfId="33"/>
    <cellStyle name="Unprot$" xfId="34"/>
    <cellStyle name="Unprotect" xfId="35"/>
    <cellStyle name="volt" xfId="36"/>
    <cellStyle name="Watt" xfId="37"/>
  </cellStyles>
  <dxfs count="41">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ont>
        <color theme="0" tint="-0.24994659260841701"/>
      </font>
      <fill>
        <patternFill>
          <bgColor theme="0" tint="-0.24994659260841701"/>
        </patternFill>
      </fill>
    </dxf>
    <dxf>
      <font>
        <color theme="0" tint="-0.24994659260841701"/>
      </font>
      <fill>
        <patternFill patternType="solid">
          <bgColor theme="0" tint="-0.24994659260841701"/>
        </patternFill>
      </fill>
      <border>
        <left/>
        <right/>
        <top/>
        <bottom/>
        <vertical/>
        <horizontal/>
      </border>
    </dxf>
    <dxf>
      <font>
        <color theme="0" tint="-0.24994659260841701"/>
      </font>
      <fill>
        <patternFill patternType="solid">
          <bgColor theme="0" tint="-0.24994659260841701"/>
        </patternFill>
      </fill>
      <border>
        <left/>
        <right/>
        <top/>
        <bottom/>
        <vertical/>
        <horizontal/>
      </border>
    </dxf>
    <dxf>
      <fill>
        <patternFill>
          <bgColor theme="8"/>
        </patternFill>
      </fill>
    </dxf>
    <dxf>
      <font>
        <color theme="0" tint="-0.24994659260841701"/>
      </font>
    </dxf>
    <dxf>
      <font>
        <color auto="1"/>
      </font>
      <fill>
        <patternFill>
          <bgColor theme="0" tint="-0.14996795556505021"/>
        </patternFill>
      </fill>
      <border>
        <right style="thin">
          <color auto="1"/>
        </right>
        <top style="thin">
          <color auto="1"/>
        </top>
        <bottom style="thin">
          <color auto="1"/>
        </bottom>
        <vertical/>
        <horizontal/>
      </border>
    </dxf>
    <dxf>
      <font>
        <color auto="1"/>
      </font>
      <fill>
        <patternFill>
          <bgColor theme="0"/>
        </patternFill>
      </fill>
      <border>
        <right style="thin">
          <color auto="1"/>
        </right>
        <top style="thin">
          <color auto="1"/>
        </top>
        <bottom style="thin">
          <color auto="1"/>
        </bottom>
        <vertical/>
        <horizontal/>
      </border>
    </dxf>
    <dxf>
      <fill>
        <patternFill>
          <bgColor rgb="FFFF0000"/>
        </patternFill>
      </fill>
    </dxf>
    <dxf>
      <font>
        <color theme="1"/>
      </font>
      <fill>
        <patternFill>
          <bgColor theme="0"/>
        </patternFill>
      </fill>
      <border>
        <right style="thin">
          <color auto="1"/>
        </right>
        <top style="thin">
          <color auto="1"/>
        </top>
        <bottom style="thin">
          <color auto="1"/>
        </bottom>
        <vertical/>
        <horizontal/>
      </border>
    </dxf>
    <dxf>
      <font>
        <color theme="0" tint="-0.24994659260841701"/>
      </font>
    </dxf>
    <dxf>
      <font>
        <color theme="0" tint="-0.34998626667073579"/>
      </font>
    </dxf>
    <dxf>
      <fill>
        <patternFill>
          <bgColor theme="8"/>
        </patternFill>
      </fill>
    </dxf>
    <dxf>
      <font>
        <color theme="5" tint="-0.499984740745262"/>
      </font>
      <fill>
        <patternFill>
          <bgColor theme="5" tint="0.79998168889431442"/>
        </patternFill>
      </fill>
    </dxf>
    <dxf>
      <font>
        <color theme="0" tint="-0.24994659260841701"/>
      </font>
    </dxf>
    <dxf>
      <font>
        <color auto="1"/>
      </font>
      <fill>
        <patternFill>
          <bgColor theme="0" tint="-0.14996795556505021"/>
        </patternFill>
      </fill>
      <border>
        <right style="thin">
          <color auto="1"/>
        </right>
        <top style="thin">
          <color auto="1"/>
        </top>
        <bottom style="thin">
          <color auto="1"/>
        </bottom>
        <vertical/>
        <horizontal/>
      </border>
    </dxf>
    <dxf>
      <font>
        <color auto="1"/>
      </font>
      <fill>
        <patternFill>
          <bgColor theme="0"/>
        </patternFill>
      </fill>
      <border>
        <right style="thin">
          <color auto="1"/>
        </right>
        <top style="thin">
          <color auto="1"/>
        </top>
        <bottom style="thin">
          <color auto="1"/>
        </bottom>
        <vertical/>
        <horizontal/>
      </border>
    </dxf>
    <dxf>
      <fill>
        <patternFill>
          <bgColor rgb="FFFF0000"/>
        </patternFill>
      </fill>
    </dxf>
    <dxf>
      <font>
        <color theme="1"/>
      </font>
      <fill>
        <patternFill>
          <bgColor theme="0"/>
        </patternFill>
      </fill>
      <border>
        <right style="thin">
          <color auto="1"/>
        </right>
        <top style="thin">
          <color auto="1"/>
        </top>
        <bottom style="thin">
          <color auto="1"/>
        </bottom>
        <vertical/>
        <horizontal/>
      </border>
    </dxf>
    <dxf>
      <font>
        <color theme="0" tint="-0.24994659260841701"/>
      </font>
    </dxf>
    <dxf>
      <font>
        <color theme="0" tint="-0.34998626667073579"/>
      </font>
    </dxf>
    <dxf>
      <fill>
        <patternFill>
          <bgColor theme="8"/>
        </patternFill>
      </fill>
    </dxf>
    <dxf>
      <font>
        <color theme="0"/>
      </font>
    </dxf>
    <dxf>
      <fill>
        <patternFill>
          <bgColor rgb="FFFF0000"/>
        </patternFill>
      </fill>
    </dxf>
    <dxf>
      <font>
        <color theme="0"/>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Profile</a:t>
            </a:r>
          </a:p>
        </c:rich>
      </c:tx>
      <c:overlay val="0"/>
    </c:title>
    <c:autoTitleDeleted val="0"/>
    <c:plotArea>
      <c:layout/>
      <c:barChart>
        <c:barDir val="col"/>
        <c:grouping val="clustered"/>
        <c:varyColors val="0"/>
        <c:ser>
          <c:idx val="0"/>
          <c:order val="0"/>
          <c:tx>
            <c:strRef>
              <c:f>'Fan Analysis'!$B$29</c:f>
              <c:strCache>
                <c:ptCount val="1"/>
                <c:pt idx="0">
                  <c:v>% flow</c:v>
                </c:pt>
              </c:strCache>
            </c:strRef>
          </c:tx>
          <c:invertIfNegative val="0"/>
          <c:cat>
            <c:numRef>
              <c:f>'Fan Analysis'!$B$30:$B$40</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'Fan Analysis'!$F$30:$F$40</c:f>
              <c:numCache>
                <c:formatCode>0%</c:formatCode>
                <c:ptCount val="11"/>
                <c:pt idx="0">
                  <c:v>0</c:v>
                </c:pt>
                <c:pt idx="1">
                  <c:v>0</c:v>
                </c:pt>
                <c:pt idx="2">
                  <c:v>0</c:v>
                </c:pt>
                <c:pt idx="3">
                  <c:v>0</c:v>
                </c:pt>
                <c:pt idx="4">
                  <c:v>0</c:v>
                </c:pt>
                <c:pt idx="5">
                  <c:v>0.1</c:v>
                </c:pt>
                <c:pt idx="6">
                  <c:v>0.2</c:v>
                </c:pt>
                <c:pt idx="7">
                  <c:v>0.3</c:v>
                </c:pt>
                <c:pt idx="8">
                  <c:v>0.2</c:v>
                </c:pt>
                <c:pt idx="9">
                  <c:v>0.15</c:v>
                </c:pt>
                <c:pt idx="10">
                  <c:v>0.05</c:v>
                </c:pt>
              </c:numCache>
            </c:numRef>
          </c:val>
          <c:extLst>
            <c:ext xmlns:c16="http://schemas.microsoft.com/office/drawing/2014/chart" uri="{C3380CC4-5D6E-409C-BE32-E72D297353CC}">
              <c16:uniqueId val="{00000000-51AF-4614-9871-3DC41E9888B0}"/>
            </c:ext>
          </c:extLst>
        </c:ser>
        <c:dLbls>
          <c:showLegendKey val="0"/>
          <c:showVal val="0"/>
          <c:showCatName val="0"/>
          <c:showSerName val="0"/>
          <c:showPercent val="0"/>
          <c:showBubbleSize val="0"/>
        </c:dLbls>
        <c:gapWidth val="48"/>
        <c:axId val="166569856"/>
        <c:axId val="166572032"/>
      </c:barChart>
      <c:catAx>
        <c:axId val="166569856"/>
        <c:scaling>
          <c:orientation val="minMax"/>
        </c:scaling>
        <c:delete val="0"/>
        <c:axPos val="b"/>
        <c:title>
          <c:tx>
            <c:rich>
              <a:bodyPr/>
              <a:lstStyle/>
              <a:p>
                <a:pPr>
                  <a:defRPr/>
                </a:pPr>
                <a:r>
                  <a:rPr lang="en-US"/>
                  <a:t>% Flow (percent of full flow </a:t>
                </a:r>
                <a:r>
                  <a:rPr lang="en-US" baseline="0"/>
                  <a:t>required to meet load)</a:t>
                </a:r>
                <a:endParaRPr lang="en-US"/>
              </a:p>
            </c:rich>
          </c:tx>
          <c:overlay val="0"/>
        </c:title>
        <c:numFmt formatCode="0%" sourceLinked="1"/>
        <c:majorTickMark val="none"/>
        <c:minorTickMark val="none"/>
        <c:tickLblPos val="nextTo"/>
        <c:crossAx val="166572032"/>
        <c:crosses val="autoZero"/>
        <c:auto val="1"/>
        <c:lblAlgn val="ctr"/>
        <c:lblOffset val="100"/>
        <c:noMultiLvlLbl val="0"/>
      </c:catAx>
      <c:valAx>
        <c:axId val="166572032"/>
        <c:scaling>
          <c:orientation val="minMax"/>
        </c:scaling>
        <c:delete val="0"/>
        <c:axPos val="l"/>
        <c:majorGridlines/>
        <c:title>
          <c:tx>
            <c:rich>
              <a:bodyPr rot="-5400000" vert="horz"/>
              <a:lstStyle/>
              <a:p>
                <a:pPr>
                  <a:defRPr/>
                </a:pPr>
                <a:r>
                  <a:rPr lang="en-US"/>
                  <a:t>Percent</a:t>
                </a:r>
                <a:r>
                  <a:rPr lang="en-US" baseline="0"/>
                  <a:t> Time</a:t>
                </a:r>
                <a:endParaRPr lang="en-US"/>
              </a:p>
            </c:rich>
          </c:tx>
          <c:overlay val="0"/>
        </c:title>
        <c:numFmt formatCode="0%" sourceLinked="0"/>
        <c:majorTickMark val="none"/>
        <c:minorTickMark val="none"/>
        <c:tickLblPos val="nextTo"/>
        <c:crossAx val="1665698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Part Load Performance Comparison</a:t>
            </a:r>
          </a:p>
        </c:rich>
      </c:tx>
      <c:overlay val="0"/>
    </c:title>
    <c:autoTitleDeleted val="0"/>
    <c:plotArea>
      <c:layout>
        <c:manualLayout>
          <c:layoutTarget val="inner"/>
          <c:xMode val="edge"/>
          <c:yMode val="edge"/>
          <c:x val="9.5441682576167725E-2"/>
          <c:y val="0.14203395461643245"/>
          <c:w val="0.8369909672026824"/>
          <c:h val="0.70182530981095714"/>
        </c:manualLayout>
      </c:layout>
      <c:scatterChart>
        <c:scatterStyle val="lineMarker"/>
        <c:varyColors val="0"/>
        <c:ser>
          <c:idx val="0"/>
          <c:order val="0"/>
          <c:tx>
            <c:strRef>
              <c:f>'Fan Analysis'!$V$11</c:f>
              <c:strCache>
                <c:ptCount val="1"/>
                <c:pt idx="0">
                  <c:v>Existing - Constant Volume</c:v>
                </c:pt>
              </c:strCache>
            </c:strRef>
          </c:tx>
          <c:spPr>
            <a:ln w="28575">
              <a:solidFill>
                <a:schemeClr val="accent1"/>
              </a:solidFill>
            </a:ln>
          </c:spPr>
          <c:xVal>
            <c:numRef>
              <c:f>'Fan Analysis'!$L$14:$L$23</c:f>
              <c:numCache>
                <c:formatCode>0%</c:formatCode>
                <c:ptCount val="10"/>
                <c:pt idx="0">
                  <c:v>0.1</c:v>
                </c:pt>
                <c:pt idx="1">
                  <c:v>0.2</c:v>
                </c:pt>
                <c:pt idx="2">
                  <c:v>0.3</c:v>
                </c:pt>
                <c:pt idx="3">
                  <c:v>0.4</c:v>
                </c:pt>
                <c:pt idx="4">
                  <c:v>0.5</c:v>
                </c:pt>
                <c:pt idx="5">
                  <c:v>0.6</c:v>
                </c:pt>
                <c:pt idx="6">
                  <c:v>0.7</c:v>
                </c:pt>
                <c:pt idx="7">
                  <c:v>0.8</c:v>
                </c:pt>
                <c:pt idx="8">
                  <c:v>0.9</c:v>
                </c:pt>
                <c:pt idx="9">
                  <c:v>1</c:v>
                </c:pt>
              </c:numCache>
            </c:numRef>
          </c:xVal>
          <c:yVal>
            <c:numRef>
              <c:f>'Fan Analysis'!$O$14:$O$23</c:f>
              <c:numCache>
                <c:formatCode>0.00</c:formatCode>
                <c:ptCount val="10"/>
                <c:pt idx="0">
                  <c:v>1.0861090909090908E-3</c:v>
                </c:pt>
                <c:pt idx="1">
                  <c:v>1.0861090909090908E-3</c:v>
                </c:pt>
                <c:pt idx="2">
                  <c:v>1.0861090909090908E-3</c:v>
                </c:pt>
                <c:pt idx="3">
                  <c:v>1.0861090909090908E-3</c:v>
                </c:pt>
                <c:pt idx="4">
                  <c:v>1.0861090909090908E-3</c:v>
                </c:pt>
                <c:pt idx="5">
                  <c:v>1.0861090909090908E-3</c:v>
                </c:pt>
                <c:pt idx="6">
                  <c:v>1.0861090909090908E-3</c:v>
                </c:pt>
                <c:pt idx="7">
                  <c:v>1.0861090909090908E-3</c:v>
                </c:pt>
                <c:pt idx="8">
                  <c:v>1.0861090909090908E-3</c:v>
                </c:pt>
                <c:pt idx="9">
                  <c:v>1.0861090909090908E-3</c:v>
                </c:pt>
              </c:numCache>
            </c:numRef>
          </c:yVal>
          <c:smooth val="0"/>
          <c:extLst>
            <c:ext xmlns:c16="http://schemas.microsoft.com/office/drawing/2014/chart" uri="{C3380CC4-5D6E-409C-BE32-E72D297353CC}">
              <c16:uniqueId val="{00000000-33A9-4D03-BB31-3156769A0741}"/>
            </c:ext>
          </c:extLst>
        </c:ser>
        <c:ser>
          <c:idx val="1"/>
          <c:order val="1"/>
          <c:tx>
            <c:strRef>
              <c:f>'Fan Analysis'!$V$12</c:f>
              <c:strCache>
                <c:ptCount val="1"/>
                <c:pt idx="0">
                  <c:v>Proposed - VSD</c:v>
                </c:pt>
              </c:strCache>
            </c:strRef>
          </c:tx>
          <c:spPr>
            <a:ln w="28575">
              <a:solidFill>
                <a:schemeClr val="accent2"/>
              </a:solidFill>
            </a:ln>
          </c:spPr>
          <c:xVal>
            <c:numRef>
              <c:f>'Fan Analysis'!$L$14:$L$23</c:f>
              <c:numCache>
                <c:formatCode>0%</c:formatCode>
                <c:ptCount val="10"/>
                <c:pt idx="0">
                  <c:v>0.1</c:v>
                </c:pt>
                <c:pt idx="1">
                  <c:v>0.2</c:v>
                </c:pt>
                <c:pt idx="2">
                  <c:v>0.3</c:v>
                </c:pt>
                <c:pt idx="3">
                  <c:v>0.4</c:v>
                </c:pt>
                <c:pt idx="4">
                  <c:v>0.5</c:v>
                </c:pt>
                <c:pt idx="5">
                  <c:v>0.6</c:v>
                </c:pt>
                <c:pt idx="6">
                  <c:v>0.7</c:v>
                </c:pt>
                <c:pt idx="7">
                  <c:v>0.8</c:v>
                </c:pt>
                <c:pt idx="8">
                  <c:v>0.9</c:v>
                </c:pt>
                <c:pt idx="9">
                  <c:v>1</c:v>
                </c:pt>
              </c:numCache>
            </c:numRef>
          </c:xVal>
          <c:yVal>
            <c:numRef>
              <c:f>'Fan Analysis'!$R$14:$R$23</c:f>
              <c:numCache>
                <c:formatCode>#,##0.00</c:formatCode>
                <c:ptCount val="10"/>
                <c:pt idx="0">
                  <c:v>5.1590181818181813E-5</c:v>
                </c:pt>
                <c:pt idx="1">
                  <c:v>5.8324058181818175E-5</c:v>
                </c:pt>
                <c:pt idx="2">
                  <c:v>8.6888727272727269E-5</c:v>
                </c:pt>
                <c:pt idx="3">
                  <c:v>1.3999946181818181E-4</c:v>
                </c:pt>
                <c:pt idx="4">
                  <c:v>2.201543127272727E-4</c:v>
                </c:pt>
                <c:pt idx="5">
                  <c:v>3.2995994181818182E-4</c:v>
                </c:pt>
                <c:pt idx="6">
                  <c:v>4.7202301090909087E-4</c:v>
                </c:pt>
                <c:pt idx="7">
                  <c:v>6.4895018181818185E-4</c:v>
                </c:pt>
                <c:pt idx="8">
                  <c:v>8.6345672727272725E-4</c:v>
                </c:pt>
                <c:pt idx="9">
                  <c:v>1.1179320872727273E-3</c:v>
                </c:pt>
              </c:numCache>
            </c:numRef>
          </c:yVal>
          <c:smooth val="0"/>
          <c:extLst>
            <c:ext xmlns:c16="http://schemas.microsoft.com/office/drawing/2014/chart" uri="{C3380CC4-5D6E-409C-BE32-E72D297353CC}">
              <c16:uniqueId val="{00000001-33A9-4D03-BB31-3156769A0741}"/>
            </c:ext>
          </c:extLst>
        </c:ser>
        <c:dLbls>
          <c:showLegendKey val="0"/>
          <c:showVal val="0"/>
          <c:showCatName val="0"/>
          <c:showSerName val="0"/>
          <c:showPercent val="0"/>
          <c:showBubbleSize val="0"/>
        </c:dLbls>
        <c:axId val="167846656"/>
        <c:axId val="167848576"/>
      </c:scatterChart>
      <c:valAx>
        <c:axId val="167846656"/>
        <c:scaling>
          <c:orientation val="minMax"/>
          <c:max val="1.1000000000000001"/>
          <c:min val="0"/>
        </c:scaling>
        <c:delete val="0"/>
        <c:axPos val="b"/>
        <c:title>
          <c:tx>
            <c:rich>
              <a:bodyPr/>
              <a:lstStyle/>
              <a:p>
                <a:pPr>
                  <a:defRPr/>
                </a:pPr>
                <a:r>
                  <a:rPr lang="en-US"/>
                  <a:t>% Capacity (CFM)</a:t>
                </a:r>
              </a:p>
            </c:rich>
          </c:tx>
          <c:overlay val="0"/>
        </c:title>
        <c:numFmt formatCode="0%" sourceLinked="1"/>
        <c:majorTickMark val="none"/>
        <c:minorTickMark val="none"/>
        <c:tickLblPos val="nextTo"/>
        <c:crossAx val="167848576"/>
        <c:crosses val="autoZero"/>
        <c:crossBetween val="midCat"/>
        <c:majorUnit val="0.2"/>
      </c:valAx>
      <c:valAx>
        <c:axId val="167848576"/>
        <c:scaling>
          <c:orientation val="minMax"/>
        </c:scaling>
        <c:delete val="0"/>
        <c:axPos val="l"/>
        <c:majorGridlines/>
        <c:title>
          <c:tx>
            <c:rich>
              <a:bodyPr/>
              <a:lstStyle/>
              <a:p>
                <a:pPr>
                  <a:defRPr/>
                </a:pPr>
                <a:r>
                  <a:rPr lang="en-US"/>
                  <a:t>Power (kW)</a:t>
                </a:r>
              </a:p>
            </c:rich>
          </c:tx>
          <c:overlay val="0"/>
        </c:title>
        <c:numFmt formatCode="0.00" sourceLinked="1"/>
        <c:majorTickMark val="none"/>
        <c:minorTickMark val="none"/>
        <c:tickLblPos val="nextTo"/>
        <c:crossAx val="167846656"/>
        <c:crosses val="autoZero"/>
        <c:crossBetween val="midCat"/>
      </c:valAx>
    </c:plotArea>
    <c:legend>
      <c:legendPos val="r"/>
      <c:layout>
        <c:manualLayout>
          <c:xMode val="edge"/>
          <c:yMode val="edge"/>
          <c:x val="0.70915963007639726"/>
          <c:y val="0.62288474700156138"/>
          <c:w val="0.21685564937675911"/>
          <c:h val="0.17608717897604573"/>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Profile</a:t>
            </a:r>
          </a:p>
        </c:rich>
      </c:tx>
      <c:overlay val="0"/>
    </c:title>
    <c:autoTitleDeleted val="0"/>
    <c:plotArea>
      <c:layout/>
      <c:barChart>
        <c:barDir val="col"/>
        <c:grouping val="clustered"/>
        <c:varyColors val="0"/>
        <c:ser>
          <c:idx val="0"/>
          <c:order val="0"/>
          <c:tx>
            <c:strRef>
              <c:f>'Fan Analysis'!$B$29</c:f>
              <c:strCache>
                <c:ptCount val="1"/>
                <c:pt idx="0">
                  <c:v>% flow</c:v>
                </c:pt>
              </c:strCache>
            </c:strRef>
          </c:tx>
          <c:invertIfNegative val="0"/>
          <c:cat>
            <c:numRef>
              <c:f>'Fan Analysis'!$B$30:$B$40</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'Fan Analysis'!$F$30:$F$40</c:f>
              <c:numCache>
                <c:formatCode>0%</c:formatCode>
                <c:ptCount val="11"/>
                <c:pt idx="0">
                  <c:v>0</c:v>
                </c:pt>
                <c:pt idx="1">
                  <c:v>0</c:v>
                </c:pt>
                <c:pt idx="2">
                  <c:v>0</c:v>
                </c:pt>
                <c:pt idx="3">
                  <c:v>0</c:v>
                </c:pt>
                <c:pt idx="4">
                  <c:v>0</c:v>
                </c:pt>
                <c:pt idx="5">
                  <c:v>0.1</c:v>
                </c:pt>
                <c:pt idx="6">
                  <c:v>0.2</c:v>
                </c:pt>
                <c:pt idx="7">
                  <c:v>0.3</c:v>
                </c:pt>
                <c:pt idx="8">
                  <c:v>0.2</c:v>
                </c:pt>
                <c:pt idx="9">
                  <c:v>0.15</c:v>
                </c:pt>
                <c:pt idx="10">
                  <c:v>0.05</c:v>
                </c:pt>
              </c:numCache>
            </c:numRef>
          </c:val>
          <c:extLst>
            <c:ext xmlns:c16="http://schemas.microsoft.com/office/drawing/2014/chart" uri="{C3380CC4-5D6E-409C-BE32-E72D297353CC}">
              <c16:uniqueId val="{00000000-27D4-4D84-A73D-8266C6893B28}"/>
            </c:ext>
          </c:extLst>
        </c:ser>
        <c:dLbls>
          <c:showLegendKey val="0"/>
          <c:showVal val="0"/>
          <c:showCatName val="0"/>
          <c:showSerName val="0"/>
          <c:showPercent val="0"/>
          <c:showBubbleSize val="0"/>
        </c:dLbls>
        <c:gapWidth val="150"/>
        <c:axId val="167583744"/>
        <c:axId val="167585664"/>
      </c:barChart>
      <c:catAx>
        <c:axId val="167583744"/>
        <c:scaling>
          <c:orientation val="minMax"/>
        </c:scaling>
        <c:delete val="0"/>
        <c:axPos val="b"/>
        <c:title>
          <c:tx>
            <c:rich>
              <a:bodyPr/>
              <a:lstStyle/>
              <a:p>
                <a:pPr>
                  <a:defRPr/>
                </a:pPr>
                <a:r>
                  <a:rPr lang="en-US"/>
                  <a:t>% Flow (percent of full flow </a:t>
                </a:r>
                <a:r>
                  <a:rPr lang="en-US" baseline="0"/>
                  <a:t>required to meet load)</a:t>
                </a:r>
                <a:endParaRPr lang="en-US"/>
              </a:p>
            </c:rich>
          </c:tx>
          <c:overlay val="0"/>
        </c:title>
        <c:numFmt formatCode="0%" sourceLinked="1"/>
        <c:majorTickMark val="none"/>
        <c:minorTickMark val="none"/>
        <c:tickLblPos val="nextTo"/>
        <c:crossAx val="167585664"/>
        <c:crosses val="autoZero"/>
        <c:auto val="1"/>
        <c:lblAlgn val="ctr"/>
        <c:lblOffset val="100"/>
        <c:noMultiLvlLbl val="0"/>
      </c:catAx>
      <c:valAx>
        <c:axId val="167585664"/>
        <c:scaling>
          <c:orientation val="minMax"/>
        </c:scaling>
        <c:delete val="0"/>
        <c:axPos val="l"/>
        <c:majorGridlines/>
        <c:title>
          <c:tx>
            <c:rich>
              <a:bodyPr rot="-5400000" vert="horz"/>
              <a:lstStyle/>
              <a:p>
                <a:pPr>
                  <a:defRPr/>
                </a:pPr>
                <a:r>
                  <a:rPr lang="en-US"/>
                  <a:t>% Time at Capacity</a:t>
                </a:r>
              </a:p>
            </c:rich>
          </c:tx>
          <c:overlay val="0"/>
        </c:title>
        <c:numFmt formatCode="0%" sourceLinked="0"/>
        <c:majorTickMark val="none"/>
        <c:minorTickMark val="none"/>
        <c:tickLblPos val="nextTo"/>
        <c:crossAx val="16758374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Part Load Performance Comparison</a:t>
            </a:r>
          </a:p>
        </c:rich>
      </c:tx>
      <c:overlay val="0"/>
    </c:title>
    <c:autoTitleDeleted val="0"/>
    <c:plotArea>
      <c:layout>
        <c:manualLayout>
          <c:layoutTarget val="inner"/>
          <c:xMode val="edge"/>
          <c:yMode val="edge"/>
          <c:x val="9.5441682576167725E-2"/>
          <c:y val="0.14203395461643245"/>
          <c:w val="0.8369909672026824"/>
          <c:h val="0.70182530981095714"/>
        </c:manualLayout>
      </c:layout>
      <c:scatterChart>
        <c:scatterStyle val="lineMarker"/>
        <c:varyColors val="0"/>
        <c:ser>
          <c:idx val="0"/>
          <c:order val="0"/>
          <c:tx>
            <c:strRef>
              <c:f>'Pump Analysis'!$V$9</c:f>
              <c:strCache>
                <c:ptCount val="1"/>
                <c:pt idx="0">
                  <c:v>Existing - None-Constant Volume</c:v>
                </c:pt>
              </c:strCache>
            </c:strRef>
          </c:tx>
          <c:spPr>
            <a:ln w="28575">
              <a:solidFill>
                <a:schemeClr val="accent1"/>
              </a:solidFill>
            </a:ln>
          </c:spPr>
          <c:xVal>
            <c:numRef>
              <c:f>'Pump Analysis'!$L$12:$L$22</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Analysis'!$O$12:$O$22</c:f>
              <c:numCache>
                <c:formatCode>0.00</c:formatCode>
                <c:ptCount val="11"/>
                <c:pt idx="0">
                  <c:v>60</c:v>
                </c:pt>
                <c:pt idx="1">
                  <c:v>60</c:v>
                </c:pt>
                <c:pt idx="2">
                  <c:v>60</c:v>
                </c:pt>
                <c:pt idx="3">
                  <c:v>60</c:v>
                </c:pt>
                <c:pt idx="4">
                  <c:v>60</c:v>
                </c:pt>
                <c:pt idx="5">
                  <c:v>60</c:v>
                </c:pt>
                <c:pt idx="6">
                  <c:v>60</c:v>
                </c:pt>
                <c:pt idx="7">
                  <c:v>60</c:v>
                </c:pt>
                <c:pt idx="8">
                  <c:v>60</c:v>
                </c:pt>
                <c:pt idx="9">
                  <c:v>60</c:v>
                </c:pt>
                <c:pt idx="10">
                  <c:v>60</c:v>
                </c:pt>
              </c:numCache>
            </c:numRef>
          </c:yVal>
          <c:smooth val="0"/>
          <c:extLst>
            <c:ext xmlns:c16="http://schemas.microsoft.com/office/drawing/2014/chart" uri="{C3380CC4-5D6E-409C-BE32-E72D297353CC}">
              <c16:uniqueId val="{00000000-8162-4A04-A24A-A52613D74DA7}"/>
            </c:ext>
          </c:extLst>
        </c:ser>
        <c:ser>
          <c:idx val="1"/>
          <c:order val="1"/>
          <c:tx>
            <c:strRef>
              <c:f>'Pump Analysis'!$V$10</c:f>
              <c:strCache>
                <c:ptCount val="1"/>
                <c:pt idx="0">
                  <c:v>Proposed - VSD</c:v>
                </c:pt>
              </c:strCache>
            </c:strRef>
          </c:tx>
          <c:spPr>
            <a:ln w="28575">
              <a:solidFill>
                <a:schemeClr val="accent2"/>
              </a:solidFill>
            </a:ln>
          </c:spPr>
          <c:xVal>
            <c:numRef>
              <c:f>'Pump Analysis'!$L$12:$L$22</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Analysis'!$R$12:$R$22</c:f>
              <c:numCache>
                <c:formatCode>#,##0.00</c:formatCode>
                <c:ptCount val="11"/>
                <c:pt idx="0">
                  <c:v>16.468506000000001</c:v>
                </c:pt>
                <c:pt idx="1">
                  <c:v>11.474526000000001</c:v>
                </c:pt>
                <c:pt idx="2">
                  <c:v>8.5949460000000002</c:v>
                </c:pt>
                <c:pt idx="3">
                  <c:v>7.8297660000000038</c:v>
                </c:pt>
                <c:pt idx="4">
                  <c:v>9.1789860000000001</c:v>
                </c:pt>
                <c:pt idx="5">
                  <c:v>12.642606000000001</c:v>
                </c:pt>
                <c:pt idx="6">
                  <c:v>18.220626000000006</c:v>
                </c:pt>
                <c:pt idx="7">
                  <c:v>25.913046000000005</c:v>
                </c:pt>
                <c:pt idx="8">
                  <c:v>35.719866000000003</c:v>
                </c:pt>
                <c:pt idx="9">
                  <c:v>47.641086000000008</c:v>
                </c:pt>
                <c:pt idx="10">
                  <c:v>61.676705999999996</c:v>
                </c:pt>
              </c:numCache>
            </c:numRef>
          </c:yVal>
          <c:smooth val="0"/>
          <c:extLst>
            <c:ext xmlns:c16="http://schemas.microsoft.com/office/drawing/2014/chart" uri="{C3380CC4-5D6E-409C-BE32-E72D297353CC}">
              <c16:uniqueId val="{00000001-8162-4A04-A24A-A52613D74DA7}"/>
            </c:ext>
          </c:extLst>
        </c:ser>
        <c:dLbls>
          <c:showLegendKey val="0"/>
          <c:showVal val="0"/>
          <c:showCatName val="0"/>
          <c:showSerName val="0"/>
          <c:showPercent val="0"/>
          <c:showBubbleSize val="0"/>
        </c:dLbls>
        <c:axId val="167620992"/>
        <c:axId val="167622912"/>
      </c:scatterChart>
      <c:valAx>
        <c:axId val="167620992"/>
        <c:scaling>
          <c:orientation val="minMax"/>
          <c:max val="1.1000000000000001"/>
          <c:min val="0"/>
        </c:scaling>
        <c:delete val="0"/>
        <c:axPos val="b"/>
        <c:title>
          <c:tx>
            <c:rich>
              <a:bodyPr/>
              <a:lstStyle/>
              <a:p>
                <a:pPr>
                  <a:defRPr/>
                </a:pPr>
                <a:r>
                  <a:rPr lang="en-US"/>
                  <a:t>% Capacity (GPM)</a:t>
                </a:r>
              </a:p>
            </c:rich>
          </c:tx>
          <c:overlay val="0"/>
        </c:title>
        <c:numFmt formatCode="0%" sourceLinked="1"/>
        <c:majorTickMark val="none"/>
        <c:minorTickMark val="none"/>
        <c:tickLblPos val="nextTo"/>
        <c:crossAx val="167622912"/>
        <c:crosses val="autoZero"/>
        <c:crossBetween val="midCat"/>
        <c:majorUnit val="0.2"/>
      </c:valAx>
      <c:valAx>
        <c:axId val="167622912"/>
        <c:scaling>
          <c:orientation val="minMax"/>
        </c:scaling>
        <c:delete val="0"/>
        <c:axPos val="l"/>
        <c:majorGridlines/>
        <c:title>
          <c:tx>
            <c:rich>
              <a:bodyPr/>
              <a:lstStyle/>
              <a:p>
                <a:pPr>
                  <a:defRPr/>
                </a:pPr>
                <a:r>
                  <a:rPr lang="en-US"/>
                  <a:t>Power (kW)</a:t>
                </a:r>
              </a:p>
            </c:rich>
          </c:tx>
          <c:overlay val="0"/>
        </c:title>
        <c:numFmt formatCode="0.00" sourceLinked="1"/>
        <c:majorTickMark val="none"/>
        <c:minorTickMark val="none"/>
        <c:tickLblPos val="nextTo"/>
        <c:crossAx val="167620992"/>
        <c:crosses val="autoZero"/>
        <c:crossBetween val="midCat"/>
      </c:valAx>
    </c:plotArea>
    <c:legend>
      <c:legendPos val="r"/>
      <c:layout>
        <c:manualLayout>
          <c:xMode val="edge"/>
          <c:yMode val="edge"/>
          <c:x val="0.70915963007639726"/>
          <c:y val="0.62288474700156138"/>
          <c:w val="0.21685564937675911"/>
          <c:h val="0.17608717897604573"/>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Pump Control Types</a:t>
            </a:r>
          </a:p>
        </c:rich>
      </c:tx>
      <c:overlay val="0"/>
    </c:title>
    <c:autoTitleDeleted val="0"/>
    <c:plotArea>
      <c:layout/>
      <c:scatterChart>
        <c:scatterStyle val="lineMarker"/>
        <c:varyColors val="0"/>
        <c:ser>
          <c:idx val="0"/>
          <c:order val="0"/>
          <c:tx>
            <c:strRef>
              <c:f>'Pump Curves'!$D$4</c:f>
              <c:strCache>
                <c:ptCount val="1"/>
                <c:pt idx="0">
                  <c:v>Eddy Current </c:v>
                </c:pt>
              </c:strCache>
            </c:strRef>
          </c:tx>
          <c:spPr>
            <a:ln w="28575">
              <a:noFill/>
            </a:ln>
          </c:spPr>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Curves'!$D$5:$D$15</c:f>
              <c:numCache>
                <c:formatCode>#,##0.0_);\(#,##0.0\)</c:formatCode>
                <c:ptCount val="11"/>
                <c:pt idx="0">
                  <c:v>16.396830000000001</c:v>
                </c:pt>
                <c:pt idx="1">
                  <c:v>17.03913</c:v>
                </c:pt>
                <c:pt idx="2">
                  <c:v>19.975430000000003</c:v>
                </c:pt>
                <c:pt idx="3">
                  <c:v>25.025730000000003</c:v>
                </c:pt>
                <c:pt idx="4">
                  <c:v>32.01003</c:v>
                </c:pt>
                <c:pt idx="5">
                  <c:v>40.748330000000003</c:v>
                </c:pt>
                <c:pt idx="6">
                  <c:v>51.06063000000001</c:v>
                </c:pt>
                <c:pt idx="7">
                  <c:v>62.766930000000009</c:v>
                </c:pt>
                <c:pt idx="8">
                  <c:v>75.68723</c:v>
                </c:pt>
                <c:pt idx="9">
                  <c:v>89.641529999999989</c:v>
                </c:pt>
                <c:pt idx="10">
                  <c:v>104.44982999999999</c:v>
                </c:pt>
              </c:numCache>
            </c:numRef>
          </c:yVal>
          <c:smooth val="0"/>
          <c:extLst>
            <c:ext xmlns:c16="http://schemas.microsoft.com/office/drawing/2014/chart" uri="{C3380CC4-5D6E-409C-BE32-E72D297353CC}">
              <c16:uniqueId val="{00000000-FA72-42AD-AD8C-1AB3447B8F82}"/>
            </c:ext>
          </c:extLst>
        </c:ser>
        <c:ser>
          <c:idx val="1"/>
          <c:order val="1"/>
          <c:tx>
            <c:strRef>
              <c:f>'Pump Curves'!$C$4</c:f>
              <c:strCache>
                <c:ptCount val="1"/>
                <c:pt idx="0">
                  <c:v>VSD</c:v>
                </c:pt>
              </c:strCache>
            </c:strRef>
          </c:tx>
          <c:spPr>
            <a:ln w="28575">
              <a:noFill/>
            </a:ln>
          </c:spPr>
          <c:trendline>
            <c:trendlineType val="poly"/>
            <c:order val="2"/>
            <c:dispRSqr val="1"/>
            <c:dispEq val="1"/>
            <c:trendlineLbl>
              <c:layout>
                <c:manualLayout>
                  <c:x val="8.1512368251917905E-2"/>
                  <c:y val="0.51052203549183217"/>
                </c:manualLayout>
              </c:layout>
              <c:tx>
                <c:rich>
                  <a:bodyPr/>
                  <a:lstStyle/>
                  <a:p>
                    <a:pPr>
                      <a:defRPr/>
                    </a:pPr>
                    <a:r>
                      <a:rPr lang="en-US" baseline="0"/>
                      <a:t>VSD:  y = 176.20x</a:t>
                    </a:r>
                    <a:r>
                      <a:rPr lang="en-US" baseline="30000"/>
                      <a:t>2</a:t>
                    </a:r>
                    <a:r>
                      <a:rPr lang="en-US" baseline="0"/>
                      <a:t> - 100.85x + 27.45
R² = 1.00</a:t>
                    </a:r>
                    <a:endParaRPr lang="en-US"/>
                  </a:p>
                </c:rich>
              </c:tx>
              <c:numFmt formatCode="#,##0.00" sourceLinked="0"/>
            </c:trendlineLbl>
          </c:trendline>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Curves'!$C$5:$C$15</c:f>
              <c:numCache>
                <c:formatCode>#,##0.0_);\(#,##0.0\)</c:formatCode>
                <c:ptCount val="11"/>
                <c:pt idx="0">
                  <c:v>27.447510000000001</c:v>
                </c:pt>
                <c:pt idx="1">
                  <c:v>19.124210000000001</c:v>
                </c:pt>
                <c:pt idx="2">
                  <c:v>14.324910000000001</c:v>
                </c:pt>
                <c:pt idx="3">
                  <c:v>13.049610000000005</c:v>
                </c:pt>
                <c:pt idx="4">
                  <c:v>15.298310000000001</c:v>
                </c:pt>
                <c:pt idx="5">
                  <c:v>21.071010000000001</c:v>
                </c:pt>
                <c:pt idx="6">
                  <c:v>30.36771000000001</c:v>
                </c:pt>
                <c:pt idx="7">
                  <c:v>43.188410000000012</c:v>
                </c:pt>
                <c:pt idx="8">
                  <c:v>59.533110000000001</c:v>
                </c:pt>
                <c:pt idx="9">
                  <c:v>79.401810000000012</c:v>
                </c:pt>
                <c:pt idx="10">
                  <c:v>102.79451</c:v>
                </c:pt>
              </c:numCache>
            </c:numRef>
          </c:yVal>
          <c:smooth val="0"/>
          <c:extLst>
            <c:ext xmlns:c16="http://schemas.microsoft.com/office/drawing/2014/chart" uri="{C3380CC4-5D6E-409C-BE32-E72D297353CC}">
              <c16:uniqueId val="{00000002-FA72-42AD-AD8C-1AB3447B8F82}"/>
            </c:ext>
          </c:extLst>
        </c:ser>
        <c:ser>
          <c:idx val="2"/>
          <c:order val="2"/>
          <c:tx>
            <c:strRef>
              <c:f>'Pump Curves'!$E$4</c:f>
              <c:strCache>
                <c:ptCount val="1"/>
                <c:pt idx="0">
                  <c:v>Torque Converter</c:v>
                </c:pt>
              </c:strCache>
            </c:strRef>
          </c:tx>
          <c:spPr>
            <a:ln w="28575">
              <a:noFill/>
            </a:ln>
          </c:spPr>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Curves'!$E$5:$E$15</c:f>
              <c:numCache>
                <c:formatCode>#,##0.0_);\(#,##0.0\)</c:formatCode>
                <c:ptCount val="11"/>
                <c:pt idx="0">
                  <c:v>13.511369999999999</c:v>
                </c:pt>
                <c:pt idx="1">
                  <c:v>18.157069999999997</c:v>
                </c:pt>
                <c:pt idx="2">
                  <c:v>24.920769999999997</c:v>
                </c:pt>
                <c:pt idx="3">
                  <c:v>33.382469999999998</c:v>
                </c:pt>
                <c:pt idx="4">
                  <c:v>43.122169999999997</c:v>
                </c:pt>
                <c:pt idx="5">
                  <c:v>53.71987</c:v>
                </c:pt>
                <c:pt idx="6">
                  <c:v>64.755570000000006</c:v>
                </c:pt>
                <c:pt idx="7">
                  <c:v>75.809269999999998</c:v>
                </c:pt>
                <c:pt idx="8">
                  <c:v>86.460970000000003</c:v>
                </c:pt>
                <c:pt idx="9">
                  <c:v>96.290670000000006</c:v>
                </c:pt>
                <c:pt idx="10">
                  <c:v>104.87837</c:v>
                </c:pt>
              </c:numCache>
            </c:numRef>
          </c:yVal>
          <c:smooth val="0"/>
          <c:extLst>
            <c:ext xmlns:c16="http://schemas.microsoft.com/office/drawing/2014/chart" uri="{C3380CC4-5D6E-409C-BE32-E72D297353CC}">
              <c16:uniqueId val="{00000003-FA72-42AD-AD8C-1AB3447B8F82}"/>
            </c:ext>
          </c:extLst>
        </c:ser>
        <c:ser>
          <c:idx val="3"/>
          <c:order val="3"/>
          <c:tx>
            <c:strRef>
              <c:f>'Pump Curves'!$F$4</c:f>
              <c:strCache>
                <c:ptCount val="1"/>
                <c:pt idx="0">
                  <c:v>None-Constant Volume</c:v>
                </c:pt>
              </c:strCache>
            </c:strRef>
          </c:tx>
          <c:spPr>
            <a:ln w="28575">
              <a:noFill/>
            </a:ln>
          </c:spPr>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Curves'!$F$5:$F$15</c:f>
              <c:numCache>
                <c:formatCode>#,##0.0_);\(#,##0.0\)</c:formatCode>
                <c:ptCount val="11"/>
                <c:pt idx="0">
                  <c:v>100</c:v>
                </c:pt>
                <c:pt idx="1">
                  <c:v>100</c:v>
                </c:pt>
                <c:pt idx="2">
                  <c:v>100</c:v>
                </c:pt>
                <c:pt idx="3">
                  <c:v>100</c:v>
                </c:pt>
                <c:pt idx="4">
                  <c:v>100</c:v>
                </c:pt>
                <c:pt idx="5">
                  <c:v>100</c:v>
                </c:pt>
                <c:pt idx="6">
                  <c:v>100</c:v>
                </c:pt>
                <c:pt idx="7">
                  <c:v>100</c:v>
                </c:pt>
                <c:pt idx="8">
                  <c:v>100</c:v>
                </c:pt>
                <c:pt idx="9">
                  <c:v>100</c:v>
                </c:pt>
                <c:pt idx="10">
                  <c:v>100</c:v>
                </c:pt>
              </c:numCache>
            </c:numRef>
          </c:yVal>
          <c:smooth val="0"/>
          <c:extLst>
            <c:ext xmlns:c16="http://schemas.microsoft.com/office/drawing/2014/chart" uri="{C3380CC4-5D6E-409C-BE32-E72D297353CC}">
              <c16:uniqueId val="{00000004-FA72-42AD-AD8C-1AB3447B8F82}"/>
            </c:ext>
          </c:extLst>
        </c:ser>
        <c:ser>
          <c:idx val="4"/>
          <c:order val="4"/>
          <c:tx>
            <c:strRef>
              <c:f>'Pump Curves'!$G$4</c:f>
              <c:strCache>
                <c:ptCount val="1"/>
                <c:pt idx="0">
                  <c:v>Throttle Valve</c:v>
                </c:pt>
              </c:strCache>
            </c:strRef>
          </c:tx>
          <c:spPr>
            <a:ln w="28575">
              <a:noFill/>
            </a:ln>
          </c:spPr>
          <c:trendline>
            <c:trendlineType val="log"/>
            <c:dispRSqr val="0"/>
            <c:dispEq val="0"/>
          </c:trendline>
          <c:trendline>
            <c:trendlineType val="poly"/>
            <c:order val="2"/>
            <c:dispRSqr val="1"/>
            <c:dispEq val="1"/>
            <c:trendlineLbl>
              <c:layout>
                <c:manualLayout>
                  <c:x val="0.12900721547321664"/>
                  <c:y val="0.37554557919066095"/>
                </c:manualLayout>
              </c:layout>
              <c:tx>
                <c:rich>
                  <a:bodyPr/>
                  <a:lstStyle/>
                  <a:p>
                    <a:pPr>
                      <a:defRPr/>
                    </a:pPr>
                    <a:r>
                      <a:rPr lang="en-US" baseline="0"/>
                      <a:t>Throttle Valve: y = -19.00x</a:t>
                    </a:r>
                    <a:r>
                      <a:rPr lang="en-US" baseline="30000"/>
                      <a:t>2</a:t>
                    </a:r>
                    <a:r>
                      <a:rPr lang="en-US" baseline="0"/>
                      <a:t> + 63.70x + 55.21
R² = 1.00</a:t>
                    </a:r>
                    <a:endParaRPr lang="en-US"/>
                  </a:p>
                </c:rich>
              </c:tx>
              <c:numFmt formatCode="#,##0.00" sourceLinked="0"/>
            </c:trendlineLbl>
          </c:trendline>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Curves'!$G$5:$G$15</c:f>
              <c:numCache>
                <c:formatCode>#,##0.0_);\(#,##0.0\)</c:formatCode>
                <c:ptCount val="11"/>
                <c:pt idx="0">
                  <c:v>55.212400000000002</c:v>
                </c:pt>
                <c:pt idx="1">
                  <c:v>61.392400000000002</c:v>
                </c:pt>
                <c:pt idx="2">
                  <c:v>67.192400000000006</c:v>
                </c:pt>
                <c:pt idx="3">
                  <c:v>72.612400000000008</c:v>
                </c:pt>
                <c:pt idx="4">
                  <c:v>77.6524</c:v>
                </c:pt>
                <c:pt idx="5">
                  <c:v>82.312399999999997</c:v>
                </c:pt>
                <c:pt idx="6">
                  <c:v>86.592399999999998</c:v>
                </c:pt>
                <c:pt idx="7">
                  <c:v>90.492400000000004</c:v>
                </c:pt>
                <c:pt idx="8">
                  <c:v>94.0124</c:v>
                </c:pt>
                <c:pt idx="9">
                  <c:v>97.1524</c:v>
                </c:pt>
                <c:pt idx="10">
                  <c:v>99.912400000000005</c:v>
                </c:pt>
              </c:numCache>
            </c:numRef>
          </c:yVal>
          <c:smooth val="0"/>
          <c:extLst>
            <c:ext xmlns:c16="http://schemas.microsoft.com/office/drawing/2014/chart" uri="{C3380CC4-5D6E-409C-BE32-E72D297353CC}">
              <c16:uniqueId val="{00000007-FA72-42AD-AD8C-1AB3447B8F82}"/>
            </c:ext>
          </c:extLst>
        </c:ser>
        <c:dLbls>
          <c:showLegendKey val="0"/>
          <c:showVal val="0"/>
          <c:showCatName val="0"/>
          <c:showSerName val="0"/>
          <c:showPercent val="0"/>
          <c:showBubbleSize val="0"/>
        </c:dLbls>
        <c:axId val="167731200"/>
        <c:axId val="167733120"/>
      </c:scatterChart>
      <c:valAx>
        <c:axId val="167731200"/>
        <c:scaling>
          <c:orientation val="minMax"/>
        </c:scaling>
        <c:delete val="0"/>
        <c:axPos val="b"/>
        <c:title>
          <c:tx>
            <c:rich>
              <a:bodyPr/>
              <a:lstStyle/>
              <a:p>
                <a:pPr>
                  <a:defRPr/>
                </a:pPr>
                <a:r>
                  <a:rPr lang="en-US"/>
                  <a:t>% Capacity (GPM)</a:t>
                </a:r>
              </a:p>
            </c:rich>
          </c:tx>
          <c:overlay val="0"/>
        </c:title>
        <c:numFmt formatCode="0%" sourceLinked="1"/>
        <c:majorTickMark val="none"/>
        <c:minorTickMark val="none"/>
        <c:tickLblPos val="nextTo"/>
        <c:crossAx val="167733120"/>
        <c:crosses val="autoZero"/>
        <c:crossBetween val="midCat"/>
      </c:valAx>
      <c:valAx>
        <c:axId val="167733120"/>
        <c:scaling>
          <c:orientation val="minMax"/>
        </c:scaling>
        <c:delete val="0"/>
        <c:axPos val="l"/>
        <c:majorGridlines/>
        <c:title>
          <c:tx>
            <c:rich>
              <a:bodyPr/>
              <a:lstStyle/>
              <a:p>
                <a:pPr>
                  <a:defRPr/>
                </a:pPr>
                <a:r>
                  <a:rPr lang="en-US"/>
                  <a:t>% Design Pump Power (kW)</a:t>
                </a:r>
              </a:p>
            </c:rich>
          </c:tx>
          <c:overlay val="0"/>
        </c:title>
        <c:numFmt formatCode="#,##0.0_);\(#,##0.0\)" sourceLinked="1"/>
        <c:majorTickMark val="none"/>
        <c:minorTickMark val="none"/>
        <c:tickLblPos val="nextTo"/>
        <c:crossAx val="167731200"/>
        <c:crosses val="autoZero"/>
        <c:crossBetween val="midCat"/>
      </c:valAx>
    </c:plotArea>
    <c:legend>
      <c:legendPos val="r"/>
      <c:legendEntry>
        <c:idx val="5"/>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Fan Control Types</a:t>
            </a:r>
          </a:p>
        </c:rich>
      </c:tx>
      <c:overlay val="0"/>
    </c:title>
    <c:autoTitleDeleted val="0"/>
    <c:plotArea>
      <c:layout/>
      <c:scatterChart>
        <c:scatterStyle val="lineMarker"/>
        <c:varyColors val="0"/>
        <c:ser>
          <c:idx val="0"/>
          <c:order val="0"/>
          <c:tx>
            <c:strRef>
              <c:f>'Fan Curves'!$C$4</c:f>
              <c:strCache>
                <c:ptCount val="1"/>
                <c:pt idx="0">
                  <c:v>VSD</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Curves'!$C$5:$C$15</c:f>
              <c:numCache>
                <c:formatCode>#,##0.0_);\(#,##0.0\)</c:formatCode>
                <c:ptCount val="11"/>
                <c:pt idx="0">
                  <c:v>0</c:v>
                </c:pt>
                <c:pt idx="1">
                  <c:v>4.75</c:v>
                </c:pt>
                <c:pt idx="2">
                  <c:v>5.37</c:v>
                </c:pt>
                <c:pt idx="3">
                  <c:v>8</c:v>
                </c:pt>
                <c:pt idx="4">
                  <c:v>12.89</c:v>
                </c:pt>
                <c:pt idx="5">
                  <c:v>20.27</c:v>
                </c:pt>
                <c:pt idx="6">
                  <c:v>30.38</c:v>
                </c:pt>
                <c:pt idx="7">
                  <c:v>43.46</c:v>
                </c:pt>
                <c:pt idx="8">
                  <c:v>59.75</c:v>
                </c:pt>
                <c:pt idx="9">
                  <c:v>79.5</c:v>
                </c:pt>
                <c:pt idx="10">
                  <c:v>102.93</c:v>
                </c:pt>
              </c:numCache>
            </c:numRef>
          </c:yVal>
          <c:smooth val="0"/>
          <c:extLst>
            <c:ext xmlns:c16="http://schemas.microsoft.com/office/drawing/2014/chart" uri="{C3380CC4-5D6E-409C-BE32-E72D297353CC}">
              <c16:uniqueId val="{00000000-2E26-49C0-AE1F-4A6B8CA80CDD}"/>
            </c:ext>
          </c:extLst>
        </c:ser>
        <c:ser>
          <c:idx val="1"/>
          <c:order val="1"/>
          <c:tx>
            <c:strRef>
              <c:f>'Fan Curves'!$D$4</c:f>
              <c:strCache>
                <c:ptCount val="1"/>
                <c:pt idx="0">
                  <c:v>Eddy Current </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Curves'!$D$5:$D$15</c:f>
              <c:numCache>
                <c:formatCode>#,##0.0_);\(#,##0.0\)</c:formatCode>
                <c:ptCount val="11"/>
                <c:pt idx="0">
                  <c:v>0</c:v>
                </c:pt>
                <c:pt idx="1">
                  <c:v>17</c:v>
                </c:pt>
                <c:pt idx="2">
                  <c:v>20</c:v>
                </c:pt>
                <c:pt idx="3">
                  <c:v>25</c:v>
                </c:pt>
                <c:pt idx="4">
                  <c:v>32</c:v>
                </c:pt>
                <c:pt idx="5">
                  <c:v>40.700000000000003</c:v>
                </c:pt>
                <c:pt idx="6">
                  <c:v>51.1</c:v>
                </c:pt>
                <c:pt idx="7">
                  <c:v>62.8</c:v>
                </c:pt>
                <c:pt idx="8">
                  <c:v>75.5</c:v>
                </c:pt>
                <c:pt idx="9">
                  <c:v>89.6</c:v>
                </c:pt>
                <c:pt idx="10">
                  <c:v>104.4</c:v>
                </c:pt>
              </c:numCache>
            </c:numRef>
          </c:yVal>
          <c:smooth val="0"/>
          <c:extLst>
            <c:ext xmlns:c16="http://schemas.microsoft.com/office/drawing/2014/chart" uri="{C3380CC4-5D6E-409C-BE32-E72D297353CC}">
              <c16:uniqueId val="{00000001-2E26-49C0-AE1F-4A6B8CA80CDD}"/>
            </c:ext>
          </c:extLst>
        </c:ser>
        <c:ser>
          <c:idx val="2"/>
          <c:order val="2"/>
          <c:tx>
            <c:strRef>
              <c:f>'Fan Curves'!$E$4</c:f>
              <c:strCache>
                <c:ptCount val="1"/>
                <c:pt idx="0">
                  <c:v>Inlet Guide Vane Control  Forward Curve Fans</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Curves'!$E$5:$E$15</c:f>
              <c:numCache>
                <c:formatCode>#,##0.0_);\(#,##0.0\)</c:formatCode>
                <c:ptCount val="11"/>
                <c:pt idx="0">
                  <c:v>0</c:v>
                </c:pt>
                <c:pt idx="1">
                  <c:v>20.642800000000001</c:v>
                </c:pt>
                <c:pt idx="2">
                  <c:v>21.569600000000001</c:v>
                </c:pt>
                <c:pt idx="3">
                  <c:v>23.320399999999999</c:v>
                </c:pt>
                <c:pt idx="4">
                  <c:v>26.435200000000002</c:v>
                </c:pt>
                <c:pt idx="5">
                  <c:v>31.454000000000001</c:v>
                </c:pt>
                <c:pt idx="6">
                  <c:v>38.916800000000002</c:v>
                </c:pt>
                <c:pt idx="7">
                  <c:v>49.363599999999998</c:v>
                </c:pt>
                <c:pt idx="8">
                  <c:v>63.334400000000002</c:v>
                </c:pt>
                <c:pt idx="9">
                  <c:v>81.369200000000006</c:v>
                </c:pt>
                <c:pt idx="10">
                  <c:v>104.00800000000001</c:v>
                </c:pt>
              </c:numCache>
            </c:numRef>
          </c:yVal>
          <c:smooth val="0"/>
          <c:extLst>
            <c:ext xmlns:c16="http://schemas.microsoft.com/office/drawing/2014/chart" uri="{C3380CC4-5D6E-409C-BE32-E72D297353CC}">
              <c16:uniqueId val="{00000002-2E26-49C0-AE1F-4A6B8CA80CDD}"/>
            </c:ext>
          </c:extLst>
        </c:ser>
        <c:ser>
          <c:idx val="3"/>
          <c:order val="3"/>
          <c:tx>
            <c:strRef>
              <c:f>'Fan Curves'!$F$4</c:f>
              <c:strCache>
                <c:ptCount val="1"/>
                <c:pt idx="0">
                  <c:v>Inlet Guide Vane Control, BI &amp; Airfoil Fans</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Curves'!$F$5:$F$15</c:f>
              <c:numCache>
                <c:formatCode>#,##0.0_);\(#,##0.0\)</c:formatCode>
                <c:ptCount val="11"/>
                <c:pt idx="0">
                  <c:v>0</c:v>
                </c:pt>
                <c:pt idx="1">
                  <c:v>52.642299999999999</c:v>
                </c:pt>
                <c:pt idx="2">
                  <c:v>55.7547</c:v>
                </c:pt>
                <c:pt idx="3">
                  <c:v>57.439099999999996</c:v>
                </c:pt>
                <c:pt idx="4">
                  <c:v>58.535499999999999</c:v>
                </c:pt>
                <c:pt idx="5">
                  <c:v>59.883899999999997</c:v>
                </c:pt>
                <c:pt idx="6">
                  <c:v>62.324299999999994</c:v>
                </c:pt>
                <c:pt idx="7">
                  <c:v>66.696699999999993</c:v>
                </c:pt>
                <c:pt idx="8">
                  <c:v>73.841099999999983</c:v>
                </c:pt>
                <c:pt idx="9">
                  <c:v>84.597499999999997</c:v>
                </c:pt>
                <c:pt idx="10">
                  <c:v>99.805899999999994</c:v>
                </c:pt>
              </c:numCache>
            </c:numRef>
          </c:yVal>
          <c:smooth val="0"/>
          <c:extLst>
            <c:ext xmlns:c16="http://schemas.microsoft.com/office/drawing/2014/chart" uri="{C3380CC4-5D6E-409C-BE32-E72D297353CC}">
              <c16:uniqueId val="{00000003-2E26-49C0-AE1F-4A6B8CA80CDD}"/>
            </c:ext>
          </c:extLst>
        </c:ser>
        <c:ser>
          <c:idx val="4"/>
          <c:order val="4"/>
          <c:tx>
            <c:strRef>
              <c:f>'Fan Curves'!$G$4</c:f>
              <c:strCache>
                <c:ptCount val="1"/>
                <c:pt idx="0">
                  <c:v>Inlet Damper Box</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Curves'!$G$5:$G$15</c:f>
              <c:numCache>
                <c:formatCode>#,##0.0_);\(#,##0.0\)</c:formatCode>
                <c:ptCount val="11"/>
                <c:pt idx="0">
                  <c:v>0</c:v>
                </c:pt>
                <c:pt idx="1">
                  <c:v>56.101129999999998</c:v>
                </c:pt>
                <c:pt idx="2">
                  <c:v>59.819929999999999</c:v>
                </c:pt>
                <c:pt idx="3">
                  <c:v>62.19473</c:v>
                </c:pt>
                <c:pt idx="4">
                  <c:v>64.005529999999993</c:v>
                </c:pt>
                <c:pt idx="5">
                  <c:v>66.032330000000002</c:v>
                </c:pt>
                <c:pt idx="6">
                  <c:v>69.055129999999991</c:v>
                </c:pt>
                <c:pt idx="7">
                  <c:v>73.853929999999991</c:v>
                </c:pt>
                <c:pt idx="8">
                  <c:v>81.208729999999989</c:v>
                </c:pt>
                <c:pt idx="9">
                  <c:v>91.899529999999999</c:v>
                </c:pt>
                <c:pt idx="10">
                  <c:v>106.70633000000001</c:v>
                </c:pt>
              </c:numCache>
            </c:numRef>
          </c:yVal>
          <c:smooth val="0"/>
          <c:extLst>
            <c:ext xmlns:c16="http://schemas.microsoft.com/office/drawing/2014/chart" uri="{C3380CC4-5D6E-409C-BE32-E72D297353CC}">
              <c16:uniqueId val="{00000004-2E26-49C0-AE1F-4A6B8CA80CDD}"/>
            </c:ext>
          </c:extLst>
        </c:ser>
        <c:ser>
          <c:idx val="5"/>
          <c:order val="5"/>
          <c:tx>
            <c:strRef>
              <c:f>'Fan Curves'!$H$4</c:f>
              <c:strCache>
                <c:ptCount val="1"/>
                <c:pt idx="0">
                  <c:v>Outlet Damper Control Forward Curve Fans</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Curves'!$H$5:$H$15</c:f>
              <c:numCache>
                <c:formatCode>#,##0.0_);\(#,##0.0\)</c:formatCode>
                <c:ptCount val="11"/>
                <c:pt idx="0">
                  <c:v>0</c:v>
                </c:pt>
                <c:pt idx="1">
                  <c:v>22.262349999999998</c:v>
                </c:pt>
                <c:pt idx="2">
                  <c:v>25.595649999999999</c:v>
                </c:pt>
                <c:pt idx="3">
                  <c:v>30.418949999999999</c:v>
                </c:pt>
                <c:pt idx="4">
                  <c:v>36.732250000000001</c:v>
                </c:pt>
                <c:pt idx="5">
                  <c:v>44.535550000000001</c:v>
                </c:pt>
                <c:pt idx="6">
                  <c:v>53.828849999999996</c:v>
                </c:pt>
                <c:pt idx="7">
                  <c:v>64.61215</c:v>
                </c:pt>
                <c:pt idx="8">
                  <c:v>76.885449999999992</c:v>
                </c:pt>
                <c:pt idx="9">
                  <c:v>90.648749999999993</c:v>
                </c:pt>
                <c:pt idx="10">
                  <c:v>105.90205</c:v>
                </c:pt>
              </c:numCache>
            </c:numRef>
          </c:yVal>
          <c:smooth val="0"/>
          <c:extLst>
            <c:ext xmlns:c16="http://schemas.microsoft.com/office/drawing/2014/chart" uri="{C3380CC4-5D6E-409C-BE32-E72D297353CC}">
              <c16:uniqueId val="{00000005-2E26-49C0-AE1F-4A6B8CA80CDD}"/>
            </c:ext>
          </c:extLst>
        </c:ser>
        <c:ser>
          <c:idx val="6"/>
          <c:order val="6"/>
          <c:tx>
            <c:strRef>
              <c:f>'Fan Curves'!$I$4</c:f>
              <c:strCache>
                <c:ptCount val="1"/>
                <c:pt idx="0">
                  <c:v>Outlet Damper Control, Radial Blade Backward Inclined &amp; Airfoil Fans</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Curves'!$I$5:$I$15</c:f>
              <c:numCache>
                <c:formatCode>#,##0.0_);\(#,##0.0\)</c:formatCode>
                <c:ptCount val="11"/>
                <c:pt idx="0">
                  <c:v>0</c:v>
                </c:pt>
                <c:pt idx="1">
                  <c:v>52.560070000000003</c:v>
                </c:pt>
                <c:pt idx="2">
                  <c:v>53.275570000000002</c:v>
                </c:pt>
                <c:pt idx="3">
                  <c:v>57.235070000000007</c:v>
                </c:pt>
                <c:pt idx="4">
                  <c:v>63.598569999999995</c:v>
                </c:pt>
                <c:pt idx="5">
                  <c:v>71.526070000000004</c:v>
                </c:pt>
                <c:pt idx="6">
                  <c:v>80.177570000000017</c:v>
                </c:pt>
                <c:pt idx="7">
                  <c:v>88.713070000000002</c:v>
                </c:pt>
                <c:pt idx="8">
                  <c:v>96.292569999999998</c:v>
                </c:pt>
                <c:pt idx="9">
                  <c:v>102.07607000000002</c:v>
                </c:pt>
                <c:pt idx="10">
                  <c:v>105.22357</c:v>
                </c:pt>
              </c:numCache>
            </c:numRef>
          </c:yVal>
          <c:smooth val="0"/>
          <c:extLst>
            <c:ext xmlns:c16="http://schemas.microsoft.com/office/drawing/2014/chart" uri="{C3380CC4-5D6E-409C-BE32-E72D297353CC}">
              <c16:uniqueId val="{00000006-2E26-49C0-AE1F-4A6B8CA80CDD}"/>
            </c:ext>
          </c:extLst>
        </c:ser>
        <c:ser>
          <c:idx val="7"/>
          <c:order val="7"/>
          <c:tx>
            <c:strRef>
              <c:f>'Fan Curves'!$J$4</c:f>
              <c:strCache>
                <c:ptCount val="1"/>
                <c:pt idx="0">
                  <c:v>Constant Volume</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Curves'!$J$5:$J$15</c:f>
              <c:numCache>
                <c:formatCode>#,##0.0_);\(#,##0.0\)</c:formatCode>
                <c:ptCount val="11"/>
                <c:pt idx="0">
                  <c:v>0</c:v>
                </c:pt>
                <c:pt idx="1">
                  <c:v>100</c:v>
                </c:pt>
                <c:pt idx="2">
                  <c:v>100</c:v>
                </c:pt>
                <c:pt idx="3">
                  <c:v>100</c:v>
                </c:pt>
                <c:pt idx="4">
                  <c:v>100</c:v>
                </c:pt>
                <c:pt idx="5">
                  <c:v>100</c:v>
                </c:pt>
                <c:pt idx="6">
                  <c:v>100</c:v>
                </c:pt>
                <c:pt idx="7">
                  <c:v>100</c:v>
                </c:pt>
                <c:pt idx="8">
                  <c:v>100</c:v>
                </c:pt>
                <c:pt idx="9">
                  <c:v>100</c:v>
                </c:pt>
                <c:pt idx="10">
                  <c:v>100</c:v>
                </c:pt>
              </c:numCache>
            </c:numRef>
          </c:yVal>
          <c:smooth val="0"/>
          <c:extLst>
            <c:ext xmlns:c16="http://schemas.microsoft.com/office/drawing/2014/chart" uri="{C3380CC4-5D6E-409C-BE32-E72D297353CC}">
              <c16:uniqueId val="{00000007-2E26-49C0-AE1F-4A6B8CA80CDD}"/>
            </c:ext>
          </c:extLst>
        </c:ser>
        <c:dLbls>
          <c:showLegendKey val="0"/>
          <c:showVal val="0"/>
          <c:showCatName val="0"/>
          <c:showSerName val="0"/>
          <c:showPercent val="0"/>
          <c:showBubbleSize val="0"/>
        </c:dLbls>
        <c:axId val="168153856"/>
        <c:axId val="168155776"/>
      </c:scatterChart>
      <c:valAx>
        <c:axId val="168153856"/>
        <c:scaling>
          <c:orientation val="minMax"/>
        </c:scaling>
        <c:delete val="0"/>
        <c:axPos val="b"/>
        <c:title>
          <c:tx>
            <c:rich>
              <a:bodyPr/>
              <a:lstStyle/>
              <a:p>
                <a:pPr>
                  <a:defRPr/>
                </a:pPr>
                <a:r>
                  <a:rPr lang="en-US"/>
                  <a:t>% Capacity (CFM)</a:t>
                </a:r>
              </a:p>
            </c:rich>
          </c:tx>
          <c:overlay val="0"/>
        </c:title>
        <c:numFmt formatCode="0%" sourceLinked="1"/>
        <c:majorTickMark val="none"/>
        <c:minorTickMark val="none"/>
        <c:tickLblPos val="nextTo"/>
        <c:crossAx val="168155776"/>
        <c:crosses val="autoZero"/>
        <c:crossBetween val="midCat"/>
      </c:valAx>
      <c:valAx>
        <c:axId val="168155776"/>
        <c:scaling>
          <c:orientation val="minMax"/>
        </c:scaling>
        <c:delete val="0"/>
        <c:axPos val="l"/>
        <c:majorGridlines/>
        <c:title>
          <c:tx>
            <c:rich>
              <a:bodyPr/>
              <a:lstStyle/>
              <a:p>
                <a:pPr>
                  <a:defRPr/>
                </a:pPr>
                <a:r>
                  <a:rPr lang="en-US"/>
                  <a:t>% Design Fan Power (kW)</a:t>
                </a:r>
              </a:p>
            </c:rich>
          </c:tx>
          <c:overlay val="0"/>
        </c:title>
        <c:numFmt formatCode="#,##0.0_);\(#,##0.0\)" sourceLinked="1"/>
        <c:majorTickMark val="none"/>
        <c:minorTickMark val="none"/>
        <c:tickLblPos val="nextTo"/>
        <c:crossAx val="168153856"/>
        <c:crosses val="autoZero"/>
        <c:crossBetween val="midCat"/>
      </c:valAx>
    </c:plotArea>
    <c:legend>
      <c:legendPos val="r"/>
      <c:layout>
        <c:manualLayout>
          <c:xMode val="edge"/>
          <c:yMode val="edge"/>
          <c:x val="0.65418972628421446"/>
          <c:y val="0.12572988946452951"/>
          <c:w val="0.23288510364775833"/>
          <c:h val="0.78013179468955918"/>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Typical Throttle</a:t>
            </a:r>
            <a:r>
              <a:rPr lang="en-US" baseline="0"/>
              <a:t> Valve Performance Curve</a:t>
            </a:r>
            <a:endParaRPr lang="en-US"/>
          </a:p>
        </c:rich>
      </c:tx>
      <c:overlay val="0"/>
    </c:title>
    <c:autoTitleDeleted val="0"/>
    <c:plotArea>
      <c:layout/>
      <c:scatterChart>
        <c:scatterStyle val="smoothMarker"/>
        <c:varyColors val="0"/>
        <c:ser>
          <c:idx val="1"/>
          <c:order val="0"/>
          <c:tx>
            <c:strRef>
              <c:f>'Throttling valve curves'!$C$4</c:f>
              <c:strCache>
                <c:ptCount val="1"/>
                <c:pt idx="0">
                  <c:v>Typical  valve</c:v>
                </c:pt>
              </c:strCache>
            </c:strRef>
          </c:tx>
          <c:marker>
            <c:symbol val="none"/>
          </c:marker>
          <c:trendline>
            <c:trendlineType val="poly"/>
            <c:order val="4"/>
            <c:dispRSqr val="1"/>
            <c:dispEq val="1"/>
            <c:trendlineLbl>
              <c:layout>
                <c:manualLayout>
                  <c:x val="1.0934251155636336E-2"/>
                  <c:y val="0.39698263450702981"/>
                </c:manualLayout>
              </c:layout>
              <c:numFmt formatCode="#,##0.000" sourceLinked="0"/>
              <c:spPr>
                <a:solidFill>
                  <a:schemeClr val="bg1"/>
                </a:solidFill>
                <a:ln>
                  <a:solidFill>
                    <a:schemeClr val="tx1"/>
                  </a:solidFill>
                </a:ln>
              </c:spPr>
            </c:trendlineLbl>
          </c:trendline>
          <c:xVal>
            <c:numRef>
              <c:f>'Throttling valve curves'!$B$5:$B$15</c:f>
              <c:numCache>
                <c:formatCode>#,##0</c:formatCode>
                <c:ptCount val="11"/>
                <c:pt idx="0">
                  <c:v>100</c:v>
                </c:pt>
                <c:pt idx="1">
                  <c:v>90</c:v>
                </c:pt>
                <c:pt idx="2">
                  <c:v>80</c:v>
                </c:pt>
                <c:pt idx="3">
                  <c:v>70</c:v>
                </c:pt>
                <c:pt idx="4">
                  <c:v>60</c:v>
                </c:pt>
                <c:pt idx="5">
                  <c:v>50</c:v>
                </c:pt>
                <c:pt idx="6">
                  <c:v>40</c:v>
                </c:pt>
                <c:pt idx="7">
                  <c:v>30</c:v>
                </c:pt>
                <c:pt idx="8">
                  <c:v>20</c:v>
                </c:pt>
                <c:pt idx="9">
                  <c:v>10</c:v>
                </c:pt>
                <c:pt idx="10">
                  <c:v>0</c:v>
                </c:pt>
              </c:numCache>
            </c:numRef>
          </c:xVal>
          <c:yVal>
            <c:numRef>
              <c:f>'Throttling valve curves'!$C$5:$C$15</c:f>
              <c:numCache>
                <c:formatCode>#,##0</c:formatCode>
                <c:ptCount val="11"/>
                <c:pt idx="0">
                  <c:v>100</c:v>
                </c:pt>
                <c:pt idx="1">
                  <c:v>98</c:v>
                </c:pt>
                <c:pt idx="2">
                  <c:v>96</c:v>
                </c:pt>
                <c:pt idx="3">
                  <c:v>93</c:v>
                </c:pt>
                <c:pt idx="4">
                  <c:v>90</c:v>
                </c:pt>
                <c:pt idx="5">
                  <c:v>85</c:v>
                </c:pt>
                <c:pt idx="6">
                  <c:v>79</c:v>
                </c:pt>
                <c:pt idx="7">
                  <c:v>69</c:v>
                </c:pt>
                <c:pt idx="8">
                  <c:v>55</c:v>
                </c:pt>
                <c:pt idx="9">
                  <c:v>35</c:v>
                </c:pt>
                <c:pt idx="10">
                  <c:v>0</c:v>
                </c:pt>
              </c:numCache>
            </c:numRef>
          </c:yVal>
          <c:smooth val="1"/>
          <c:extLst>
            <c:ext xmlns:c16="http://schemas.microsoft.com/office/drawing/2014/chart" uri="{C3380CC4-5D6E-409C-BE32-E72D297353CC}">
              <c16:uniqueId val="{00000001-650C-4021-BD2A-89AE3F51823D}"/>
            </c:ext>
          </c:extLst>
        </c:ser>
        <c:dLbls>
          <c:showLegendKey val="0"/>
          <c:showVal val="0"/>
          <c:showCatName val="0"/>
          <c:showSerName val="0"/>
          <c:showPercent val="0"/>
          <c:showBubbleSize val="0"/>
        </c:dLbls>
        <c:axId val="168309888"/>
        <c:axId val="168311808"/>
      </c:scatterChart>
      <c:valAx>
        <c:axId val="168309888"/>
        <c:scaling>
          <c:orientation val="minMax"/>
          <c:max val="100"/>
        </c:scaling>
        <c:delete val="0"/>
        <c:axPos val="b"/>
        <c:title>
          <c:tx>
            <c:rich>
              <a:bodyPr/>
              <a:lstStyle/>
              <a:p>
                <a:pPr>
                  <a:defRPr/>
                </a:pPr>
                <a:r>
                  <a:rPr lang="en-US"/>
                  <a:t>% Open</a:t>
                </a:r>
              </a:p>
            </c:rich>
          </c:tx>
          <c:overlay val="0"/>
        </c:title>
        <c:numFmt formatCode="#,##0" sourceLinked="1"/>
        <c:majorTickMark val="out"/>
        <c:minorTickMark val="none"/>
        <c:tickLblPos val="nextTo"/>
        <c:crossAx val="168311808"/>
        <c:crosses val="autoZero"/>
        <c:crossBetween val="midCat"/>
      </c:valAx>
      <c:valAx>
        <c:axId val="168311808"/>
        <c:scaling>
          <c:orientation val="minMax"/>
          <c:max val="100"/>
        </c:scaling>
        <c:delete val="0"/>
        <c:axPos val="l"/>
        <c:majorGridlines/>
        <c:title>
          <c:tx>
            <c:rich>
              <a:bodyPr rot="0" vert="horz"/>
              <a:lstStyle/>
              <a:p>
                <a:pPr>
                  <a:defRPr/>
                </a:pPr>
                <a:r>
                  <a:rPr lang="en-US"/>
                  <a:t>% Flow</a:t>
                </a:r>
              </a:p>
            </c:rich>
          </c:tx>
          <c:overlay val="0"/>
        </c:title>
        <c:numFmt formatCode="#,##0" sourceLinked="1"/>
        <c:majorTickMark val="out"/>
        <c:minorTickMark val="none"/>
        <c:tickLblPos val="nextTo"/>
        <c:crossAx val="16830988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ti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711691</xdr:colOff>
      <xdr:row>3</xdr:row>
      <xdr:rowOff>148277</xdr:rowOff>
    </xdr:to>
    <xdr:pic>
      <xdr:nvPicPr>
        <xdr:cNvPr id="2" name="Picture 1">
          <a:extLst>
            <a:ext uri="{FF2B5EF4-FFF2-40B4-BE49-F238E27FC236}">
              <a16:creationId xmlns:a16="http://schemas.microsoft.com/office/drawing/2014/main" id="{6377A570-BC60-48C4-8730-14421BC1B7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38100"/>
          <a:ext cx="959341" cy="69120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57150</xdr:colOff>
          <xdr:row>3</xdr:row>
          <xdr:rowOff>171450</xdr:rowOff>
        </xdr:from>
        <xdr:to>
          <xdr:col>3</xdr:col>
          <xdr:colOff>527685</xdr:colOff>
          <xdr:row>14</xdr:row>
          <xdr:rowOff>9525</xdr:rowOff>
        </xdr:to>
        <xdr:pic>
          <xdr:nvPicPr>
            <xdr:cNvPr id="3" name="Picture 2">
              <a:extLst>
                <a:ext uri="{FF2B5EF4-FFF2-40B4-BE49-F238E27FC236}">
                  <a16:creationId xmlns:a16="http://schemas.microsoft.com/office/drawing/2014/main" id="{82BAC626-3432-4945-9364-CB548BF97BAC}"/>
                </a:ext>
              </a:extLst>
            </xdr:cNvPr>
            <xdr:cNvPicPr>
              <a:picLocks noChangeAspect="1" noChangeArrowheads="1"/>
              <a:extLst>
                <a:ext uri="{84589F7E-364E-4C9E-8A38-B11213B215E9}">
                  <a14:cameraTool cellRange="'SVP HVAC Fan VSD Savings Calc'!$B$17:$D$28" spid="_x0000_s26694"/>
                </a:ext>
              </a:extLst>
            </xdr:cNvPicPr>
          </xdr:nvPicPr>
          <xdr:blipFill>
            <a:blip xmlns:r="http://schemas.openxmlformats.org/officeDocument/2006/relationships" r:embed="rId2"/>
            <a:srcRect/>
            <a:stretch>
              <a:fillRect/>
            </a:stretch>
          </xdr:blipFill>
          <xdr:spPr bwMode="auto">
            <a:xfrm>
              <a:off x="57150" y="752475"/>
              <a:ext cx="3480435" cy="1933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190498</xdr:rowOff>
        </xdr:from>
        <xdr:to>
          <xdr:col>6</xdr:col>
          <xdr:colOff>566781</xdr:colOff>
          <xdr:row>14</xdr:row>
          <xdr:rowOff>19049</xdr:rowOff>
        </xdr:to>
        <xdr:pic>
          <xdr:nvPicPr>
            <xdr:cNvPr id="4" name="Picture 3">
              <a:extLst>
                <a:ext uri="{FF2B5EF4-FFF2-40B4-BE49-F238E27FC236}">
                  <a16:creationId xmlns:a16="http://schemas.microsoft.com/office/drawing/2014/main" id="{06260FD3-C6C8-49BB-83D1-1DD042F5EFCF}"/>
                </a:ext>
              </a:extLst>
            </xdr:cNvPr>
            <xdr:cNvPicPr>
              <a:picLocks noChangeAspect="1" noChangeArrowheads="1"/>
              <a:extLst>
                <a:ext uri="{84589F7E-364E-4C9E-8A38-B11213B215E9}">
                  <a14:cameraTool cellRange="'SVP HVAC Fan VSD Savings Calc'!$B$46:$C$59" spid="_x0000_s26695"/>
                </a:ext>
              </a:extLst>
            </xdr:cNvPicPr>
          </xdr:nvPicPr>
          <xdr:blipFill>
            <a:blip xmlns:r="http://schemas.openxmlformats.org/officeDocument/2006/relationships" r:embed="rId3"/>
            <a:srcRect/>
            <a:stretch>
              <a:fillRect/>
            </a:stretch>
          </xdr:blipFill>
          <xdr:spPr bwMode="auto">
            <a:xfrm>
              <a:off x="3829050" y="771523"/>
              <a:ext cx="2452731" cy="192405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14</xdr:row>
          <xdr:rowOff>142875</xdr:rowOff>
        </xdr:from>
        <xdr:to>
          <xdr:col>6</xdr:col>
          <xdr:colOff>493747</xdr:colOff>
          <xdr:row>47</xdr:row>
          <xdr:rowOff>28575</xdr:rowOff>
        </xdr:to>
        <xdr:pic>
          <xdr:nvPicPr>
            <xdr:cNvPr id="5" name="Picture 4">
              <a:extLst>
                <a:ext uri="{FF2B5EF4-FFF2-40B4-BE49-F238E27FC236}">
                  <a16:creationId xmlns:a16="http://schemas.microsoft.com/office/drawing/2014/main" id="{4788B556-B8AE-4EA6-A48C-E120BFC7A344}"/>
                </a:ext>
              </a:extLst>
            </xdr:cNvPr>
            <xdr:cNvPicPr>
              <a:picLocks noChangeAspect="1" noChangeArrowheads="1"/>
              <a:extLst>
                <a:ext uri="{84589F7E-364E-4C9E-8A38-B11213B215E9}">
                  <a14:cameraTool cellRange="'Fan Analysis'!$L$3:$T$42" spid="_x0000_s26696"/>
                </a:ext>
              </a:extLst>
            </xdr:cNvPicPr>
          </xdr:nvPicPr>
          <xdr:blipFill>
            <a:blip xmlns:r="http://schemas.openxmlformats.org/officeDocument/2006/relationships" r:embed="rId4"/>
            <a:srcRect/>
            <a:stretch>
              <a:fillRect/>
            </a:stretch>
          </xdr:blipFill>
          <xdr:spPr bwMode="auto">
            <a:xfrm>
              <a:off x="95250" y="2819400"/>
              <a:ext cx="6113497" cy="617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0</xdr:colOff>
      <xdr:row>41</xdr:row>
      <xdr:rowOff>19050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190500</xdr:colOff>
      <xdr:row>2</xdr:row>
      <xdr:rowOff>0</xdr:rowOff>
    </xdr:from>
    <xdr:to>
      <xdr:col>33</xdr:col>
      <xdr:colOff>161925</xdr:colOff>
      <xdr:row>25</xdr:row>
      <xdr:rowOff>47625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24</xdr:row>
      <xdr:rowOff>0</xdr:rowOff>
    </xdr:from>
    <xdr:to>
      <xdr:col>20</xdr:col>
      <xdr:colOff>0</xdr:colOff>
      <xdr:row>40</xdr:row>
      <xdr:rowOff>19050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533400</xdr:colOff>
      <xdr:row>0</xdr:row>
      <xdr:rowOff>161925</xdr:rowOff>
    </xdr:from>
    <xdr:to>
      <xdr:col>33</xdr:col>
      <xdr:colOff>504825</xdr:colOff>
      <xdr:row>23</xdr:row>
      <xdr:rowOff>9525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104775</xdr:colOff>
      <xdr:row>15</xdr:row>
      <xdr:rowOff>123824</xdr:rowOff>
    </xdr:from>
    <xdr:to>
      <xdr:col>9</xdr:col>
      <xdr:colOff>485775</xdr:colOff>
      <xdr:row>35</xdr:row>
      <xdr:rowOff>123824</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76201</xdr:colOff>
      <xdr:row>15</xdr:row>
      <xdr:rowOff>76201</xdr:rowOff>
    </xdr:from>
    <xdr:to>
      <xdr:col>10</xdr:col>
      <xdr:colOff>19050</xdr:colOff>
      <xdr:row>37</xdr:row>
      <xdr:rowOff>76201</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542924</xdr:colOff>
      <xdr:row>1</xdr:row>
      <xdr:rowOff>123824</xdr:rowOff>
    </xdr:from>
    <xdr:to>
      <xdr:col>13</xdr:col>
      <xdr:colOff>66675</xdr:colOff>
      <xdr:row>20</xdr:row>
      <xdr:rowOff>47625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133350</xdr:colOff>
      <xdr:row>23</xdr:row>
      <xdr:rowOff>57150</xdr:rowOff>
    </xdr:from>
    <xdr:to>
      <xdr:col>17</xdr:col>
      <xdr:colOff>523141</xdr:colOff>
      <xdr:row>42</xdr:row>
      <xdr:rowOff>9079</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5848350" y="9201150"/>
          <a:ext cx="5876191" cy="3571429"/>
        </a:xfrm>
        <a:prstGeom prst="rect">
          <a:avLst/>
        </a:prstGeom>
      </xdr:spPr>
    </xdr:pic>
    <xdr:clientData/>
  </xdr:twoCellAnchor>
  <xdr:twoCellAnchor editAs="oneCell">
    <xdr:from>
      <xdr:col>0</xdr:col>
      <xdr:colOff>0</xdr:colOff>
      <xdr:row>22</xdr:row>
      <xdr:rowOff>180975</xdr:rowOff>
    </xdr:from>
    <xdr:to>
      <xdr:col>7</xdr:col>
      <xdr:colOff>389850</xdr:colOff>
      <xdr:row>43</xdr:row>
      <xdr:rowOff>37618</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3"/>
        <a:stretch>
          <a:fillRect/>
        </a:stretch>
      </xdr:blipFill>
      <xdr:spPr>
        <a:xfrm>
          <a:off x="0" y="9134475"/>
          <a:ext cx="5400000" cy="3857143"/>
        </a:xfrm>
        <a:prstGeom prst="rect">
          <a:avLst/>
        </a:prstGeom>
      </xdr:spPr>
    </xdr:pic>
    <xdr:clientData/>
  </xdr:twoCellAnchor>
</xdr:wsDr>
</file>

<file path=xl/theme/theme1.xml><?xml version="1.0" encoding="utf-8"?>
<a:theme xmlns:a="http://schemas.openxmlformats.org/drawingml/2006/main" name="Office Theme">
  <a:themeElements>
    <a:clrScheme name="ERS Report">
      <a:dk1>
        <a:sysClr val="windowText" lastClr="000000"/>
      </a:dk1>
      <a:lt1>
        <a:sysClr val="window" lastClr="FFFFFF"/>
      </a:lt1>
      <a:dk2>
        <a:srgbClr val="1F497D"/>
      </a:dk2>
      <a:lt2>
        <a:srgbClr val="EEECE1"/>
      </a:lt2>
      <a:accent1>
        <a:srgbClr val="4F81BD"/>
      </a:accent1>
      <a:accent2>
        <a:srgbClr val="C0504D"/>
      </a:accent2>
      <a:accent3>
        <a:srgbClr val="B3D6AB"/>
      </a:accent3>
      <a:accent4>
        <a:srgbClr val="99CCFF"/>
      </a:accent4>
      <a:accent5>
        <a:srgbClr val="CCFFCC"/>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U72"/>
  <sheetViews>
    <sheetView zoomScaleNormal="100" workbookViewId="0">
      <selection activeCell="K4" sqref="K4"/>
    </sheetView>
  </sheetViews>
  <sheetFormatPr defaultRowHeight="12.75"/>
  <cols>
    <col min="1" max="1" width="9.140625" style="14"/>
    <col min="2" max="2" width="15.85546875" style="14" customWidth="1"/>
    <col min="3" max="3" width="17.140625" style="14" customWidth="1"/>
    <col min="4" max="4" width="15" style="14" customWidth="1"/>
    <col min="5" max="8" width="9.140625" style="14"/>
    <col min="9" max="9" width="24.28515625" style="14" customWidth="1"/>
    <col min="10" max="16384" width="9.140625" style="14"/>
  </cols>
  <sheetData>
    <row r="1" spans="1:21" ht="23.25">
      <c r="A1" s="98" t="s">
        <v>135</v>
      </c>
    </row>
    <row r="2" spans="1:21">
      <c r="A2" s="94" t="s">
        <v>96</v>
      </c>
      <c r="B2" s="95"/>
      <c r="C2" s="95"/>
      <c r="D2" s="95"/>
      <c r="E2" s="95"/>
      <c r="F2" s="95"/>
      <c r="G2" s="95"/>
      <c r="H2" s="95"/>
      <c r="I2" s="95"/>
      <c r="J2" s="95"/>
      <c r="K2" s="95"/>
      <c r="L2" s="95"/>
      <c r="M2" s="95"/>
      <c r="N2" s="95"/>
      <c r="O2" s="95"/>
      <c r="P2" s="95"/>
      <c r="Q2" s="95"/>
      <c r="R2" s="95"/>
      <c r="S2" s="95"/>
      <c r="T2" s="95"/>
      <c r="U2" s="95"/>
    </row>
    <row r="3" spans="1:21" ht="7.5" customHeight="1"/>
    <row r="4" spans="1:21" ht="96.75" customHeight="1">
      <c r="A4" s="202" t="s">
        <v>136</v>
      </c>
      <c r="B4" s="202"/>
      <c r="C4" s="202"/>
      <c r="D4" s="202"/>
      <c r="E4" s="202"/>
      <c r="F4" s="202"/>
      <c r="G4" s="202"/>
      <c r="H4" s="202"/>
      <c r="I4" s="202"/>
      <c r="P4" s="153"/>
    </row>
    <row r="6" spans="1:21">
      <c r="A6" s="94" t="s">
        <v>97</v>
      </c>
      <c r="B6" s="95"/>
      <c r="C6" s="95"/>
      <c r="D6" s="95"/>
      <c r="E6" s="95"/>
      <c r="F6" s="95"/>
      <c r="G6" s="95"/>
      <c r="H6" s="95"/>
      <c r="I6" s="95"/>
      <c r="J6" s="95"/>
      <c r="K6" s="95"/>
      <c r="L6" s="95"/>
      <c r="M6" s="95"/>
      <c r="N6" s="95"/>
      <c r="O6" s="95"/>
      <c r="P6" s="95"/>
      <c r="Q6" s="95"/>
      <c r="R6" s="95"/>
      <c r="S6" s="95"/>
      <c r="T6" s="95"/>
      <c r="U6" s="95"/>
    </row>
    <row r="7" spans="1:21" ht="5.25" customHeight="1"/>
    <row r="8" spans="1:21">
      <c r="A8" s="96" t="s">
        <v>98</v>
      </c>
      <c r="B8" s="14" t="s">
        <v>116</v>
      </c>
    </row>
    <row r="9" spans="1:21">
      <c r="A9" s="96" t="s">
        <v>99</v>
      </c>
      <c r="B9" s="14" t="s">
        <v>117</v>
      </c>
    </row>
    <row r="10" spans="1:21">
      <c r="A10" s="96" t="s">
        <v>118</v>
      </c>
      <c r="B10" s="14" t="s">
        <v>119</v>
      </c>
    </row>
    <row r="11" spans="1:21">
      <c r="A11" s="96"/>
      <c r="C11" s="14" t="s">
        <v>137</v>
      </c>
    </row>
    <row r="12" spans="1:21">
      <c r="A12" s="96"/>
      <c r="C12" s="14" t="s">
        <v>142</v>
      </c>
    </row>
    <row r="13" spans="1:21">
      <c r="A13" s="96" t="s">
        <v>104</v>
      </c>
      <c r="B13" s="14" t="s">
        <v>120</v>
      </c>
    </row>
    <row r="14" spans="1:21">
      <c r="A14" s="96" t="s">
        <v>114</v>
      </c>
      <c r="B14" s="14" t="s">
        <v>101</v>
      </c>
    </row>
    <row r="15" spans="1:21">
      <c r="A15" s="96"/>
      <c r="C15" s="14" t="s">
        <v>102</v>
      </c>
    </row>
    <row r="16" spans="1:21">
      <c r="A16" s="96"/>
      <c r="C16" s="14" t="s">
        <v>121</v>
      </c>
    </row>
    <row r="17" spans="1:21">
      <c r="A17" s="96"/>
      <c r="C17" s="14" t="s">
        <v>106</v>
      </c>
    </row>
    <row r="18" spans="1:21">
      <c r="A18" s="96" t="s">
        <v>123</v>
      </c>
      <c r="B18" s="14" t="s">
        <v>105</v>
      </c>
    </row>
    <row r="19" spans="1:21">
      <c r="C19" s="14" t="s">
        <v>138</v>
      </c>
    </row>
    <row r="20" spans="1:21">
      <c r="C20" s="14" t="s">
        <v>139</v>
      </c>
    </row>
    <row r="22" spans="1:21">
      <c r="A22" s="97" t="s">
        <v>107</v>
      </c>
    </row>
    <row r="23" spans="1:21">
      <c r="A23" s="97"/>
      <c r="B23" s="14" t="s">
        <v>122</v>
      </c>
    </row>
    <row r="24" spans="1:21">
      <c r="C24" s="14" t="s">
        <v>108</v>
      </c>
    </row>
    <row r="25" spans="1:21">
      <c r="C25" s="14" t="s">
        <v>109</v>
      </c>
    </row>
    <row r="26" spans="1:21">
      <c r="C26" s="14" t="s">
        <v>110</v>
      </c>
    </row>
    <row r="27" spans="1:21">
      <c r="C27" s="14" t="s">
        <v>111</v>
      </c>
    </row>
    <row r="28" spans="1:21">
      <c r="C28" s="14" t="s">
        <v>112</v>
      </c>
    </row>
    <row r="30" spans="1:21">
      <c r="A30" s="94" t="s">
        <v>115</v>
      </c>
      <c r="B30" s="95"/>
      <c r="C30" s="95"/>
      <c r="D30" s="95"/>
      <c r="E30" s="95"/>
      <c r="F30" s="95"/>
      <c r="G30" s="95"/>
      <c r="H30" s="95"/>
      <c r="I30" s="95"/>
      <c r="J30" s="95"/>
      <c r="K30" s="95"/>
      <c r="L30" s="95"/>
      <c r="M30" s="95"/>
      <c r="N30" s="95"/>
      <c r="O30" s="95"/>
      <c r="P30" s="95"/>
      <c r="Q30" s="95"/>
      <c r="R30" s="95"/>
      <c r="S30" s="95"/>
      <c r="T30" s="95"/>
      <c r="U30" s="95"/>
    </row>
    <row r="31" spans="1:21" ht="6.75" customHeight="1">
      <c r="A31" s="97"/>
    </row>
    <row r="32" spans="1:21">
      <c r="A32" s="96" t="s">
        <v>98</v>
      </c>
      <c r="B32" s="14" t="s">
        <v>124</v>
      </c>
    </row>
    <row r="33" spans="1:3">
      <c r="A33" s="96" t="s">
        <v>99</v>
      </c>
      <c r="B33" s="14" t="s">
        <v>117</v>
      </c>
    </row>
    <row r="34" spans="1:3">
      <c r="A34" s="96" t="s">
        <v>118</v>
      </c>
      <c r="B34" s="14" t="s">
        <v>125</v>
      </c>
    </row>
    <row r="35" spans="1:3">
      <c r="A35" s="96"/>
      <c r="C35" s="14" t="s">
        <v>137</v>
      </c>
    </row>
    <row r="36" spans="1:3">
      <c r="A36" s="96"/>
      <c r="C36" s="14" t="s">
        <v>142</v>
      </c>
    </row>
    <row r="37" spans="1:3">
      <c r="A37" s="96" t="s">
        <v>104</v>
      </c>
      <c r="B37" s="14" t="s">
        <v>126</v>
      </c>
    </row>
    <row r="38" spans="1:3">
      <c r="A38" s="96" t="s">
        <v>114</v>
      </c>
      <c r="B38" s="14" t="s">
        <v>101</v>
      </c>
    </row>
    <row r="39" spans="1:3">
      <c r="A39" s="96"/>
      <c r="C39" s="14" t="s">
        <v>102</v>
      </c>
    </row>
    <row r="40" spans="1:3">
      <c r="A40" s="96"/>
      <c r="C40" s="14" t="s">
        <v>103</v>
      </c>
    </row>
    <row r="41" spans="1:3">
      <c r="A41" s="96" t="s">
        <v>123</v>
      </c>
      <c r="B41" s="14" t="s">
        <v>105</v>
      </c>
    </row>
    <row r="42" spans="1:3">
      <c r="C42" s="14" t="s">
        <v>138</v>
      </c>
    </row>
    <row r="43" spans="1:3">
      <c r="C43" s="14" t="s">
        <v>140</v>
      </c>
    </row>
    <row r="45" spans="1:3">
      <c r="A45" s="97" t="s">
        <v>107</v>
      </c>
    </row>
    <row r="46" spans="1:3">
      <c r="A46" s="97"/>
      <c r="B46" s="14" t="s">
        <v>122</v>
      </c>
    </row>
    <row r="47" spans="1:3">
      <c r="C47" s="14" t="s">
        <v>108</v>
      </c>
    </row>
    <row r="48" spans="1:3">
      <c r="C48" s="14" t="s">
        <v>109</v>
      </c>
    </row>
    <row r="49" spans="1:21">
      <c r="C49" s="14" t="s">
        <v>110</v>
      </c>
    </row>
    <row r="50" spans="1:21">
      <c r="C50" s="14" t="s">
        <v>111</v>
      </c>
    </row>
    <row r="51" spans="1:21">
      <c r="C51" s="14" t="s">
        <v>112</v>
      </c>
    </row>
    <row r="53" spans="1:21">
      <c r="A53" s="94" t="s">
        <v>129</v>
      </c>
      <c r="B53" s="95"/>
      <c r="C53" s="95"/>
      <c r="D53" s="95"/>
      <c r="E53" s="95"/>
      <c r="F53" s="95"/>
      <c r="G53" s="95"/>
      <c r="H53" s="95"/>
      <c r="I53" s="95"/>
      <c r="J53" s="95"/>
      <c r="K53" s="95"/>
      <c r="L53" s="95"/>
      <c r="M53" s="95"/>
      <c r="N53" s="95"/>
      <c r="O53" s="95"/>
      <c r="P53" s="95"/>
      <c r="Q53" s="95"/>
      <c r="R53" s="95"/>
      <c r="S53" s="95"/>
      <c r="T53" s="95"/>
      <c r="U53" s="95"/>
    </row>
    <row r="54" spans="1:21">
      <c r="A54" s="97"/>
    </row>
    <row r="55" spans="1:21">
      <c r="A55" s="96" t="s">
        <v>98</v>
      </c>
      <c r="B55" s="14" t="s">
        <v>124</v>
      </c>
    </row>
    <row r="56" spans="1:21">
      <c r="A56" s="96" t="s">
        <v>99</v>
      </c>
      <c r="B56" s="14" t="s">
        <v>117</v>
      </c>
    </row>
    <row r="57" spans="1:21">
      <c r="A57" s="96" t="s">
        <v>118</v>
      </c>
      <c r="B57" s="14" t="s">
        <v>130</v>
      </c>
    </row>
    <row r="58" spans="1:21">
      <c r="A58" s="96"/>
      <c r="C58" s="14" t="s">
        <v>137</v>
      </c>
    </row>
    <row r="59" spans="1:21">
      <c r="A59" s="96"/>
      <c r="C59" s="14" t="s">
        <v>142</v>
      </c>
    </row>
    <row r="60" spans="1:21">
      <c r="A60" s="96"/>
      <c r="C60" s="14" t="s">
        <v>100</v>
      </c>
    </row>
    <row r="61" spans="1:21">
      <c r="A61" s="96" t="s">
        <v>104</v>
      </c>
      <c r="B61" s="14" t="s">
        <v>126</v>
      </c>
    </row>
    <row r="62" spans="1:21">
      <c r="A62" s="96" t="s">
        <v>114</v>
      </c>
      <c r="B62" s="14" t="s">
        <v>131</v>
      </c>
    </row>
    <row r="63" spans="1:21">
      <c r="C63" s="14" t="s">
        <v>141</v>
      </c>
    </row>
    <row r="64" spans="1:21">
      <c r="C64" s="14" t="s">
        <v>132</v>
      </c>
    </row>
    <row r="65" spans="1:4">
      <c r="A65" s="97" t="s">
        <v>107</v>
      </c>
    </row>
    <row r="66" spans="1:4">
      <c r="B66" s="14" t="s">
        <v>143</v>
      </c>
    </row>
    <row r="67" spans="1:4">
      <c r="C67" s="14" t="s">
        <v>134</v>
      </c>
    </row>
    <row r="68" spans="1:4">
      <c r="C68" s="14" t="s">
        <v>133</v>
      </c>
    </row>
    <row r="69" spans="1:4">
      <c r="B69" s="203" t="s">
        <v>144</v>
      </c>
      <c r="C69" s="203"/>
      <c r="D69" s="14" t="s">
        <v>151</v>
      </c>
    </row>
    <row r="70" spans="1:4">
      <c r="B70" s="204" t="s">
        <v>145</v>
      </c>
      <c r="C70" s="204"/>
      <c r="D70" s="14" t="s">
        <v>146</v>
      </c>
    </row>
    <row r="71" spans="1:4">
      <c r="B71" s="204" t="s">
        <v>147</v>
      </c>
      <c r="C71" s="204"/>
      <c r="D71" s="14" t="s">
        <v>148</v>
      </c>
    </row>
    <row r="72" spans="1:4">
      <c r="B72" s="14" t="s">
        <v>149</v>
      </c>
    </row>
  </sheetData>
  <sheetProtection password="CC08" sheet="1" objects="1" scenarios="1" selectLockedCells="1"/>
  <mergeCells count="4">
    <mergeCell ref="A4:I4"/>
    <mergeCell ref="B69:C69"/>
    <mergeCell ref="B70:C70"/>
    <mergeCell ref="B71:C71"/>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G15"/>
  <sheetViews>
    <sheetView workbookViewId="0">
      <selection activeCell="F4" sqref="F4"/>
    </sheetView>
  </sheetViews>
  <sheetFormatPr defaultRowHeight="14.25"/>
  <cols>
    <col min="1" max="1" width="2.85546875" style="73" customWidth="1"/>
    <col min="2" max="2" width="11.5703125" style="73" bestFit="1" customWidth="1"/>
    <col min="3" max="7" width="18.85546875" style="73" customWidth="1"/>
    <col min="8" max="16384" width="9.140625" style="73"/>
  </cols>
  <sheetData>
    <row r="2" spans="2:7">
      <c r="B2" s="121"/>
      <c r="C2" s="122">
        <v>2</v>
      </c>
      <c r="D2" s="122">
        <v>3</v>
      </c>
      <c r="E2" s="122">
        <v>4</v>
      </c>
      <c r="F2" s="122">
        <v>5</v>
      </c>
      <c r="G2" s="123"/>
    </row>
    <row r="3" spans="2:7" ht="15" thickBot="1">
      <c r="B3" s="100" t="s">
        <v>11</v>
      </c>
      <c r="C3" s="99" t="s">
        <v>75</v>
      </c>
      <c r="D3" s="99" t="s">
        <v>25</v>
      </c>
      <c r="E3" s="99" t="s">
        <v>26</v>
      </c>
      <c r="F3" s="99" t="s">
        <v>153</v>
      </c>
      <c r="G3" s="100" t="s">
        <v>28</v>
      </c>
    </row>
    <row r="4" spans="2:7" ht="15" thickTop="1">
      <c r="B4" s="114">
        <v>0</v>
      </c>
      <c r="C4" s="18">
        <v>0</v>
      </c>
      <c r="D4" s="18">
        <v>0</v>
      </c>
      <c r="E4" s="18">
        <v>0.05</v>
      </c>
      <c r="F4" s="18">
        <v>0.6</v>
      </c>
      <c r="G4" s="116">
        <v>0</v>
      </c>
    </row>
    <row r="5" spans="2:7">
      <c r="B5" s="111">
        <v>0.1</v>
      </c>
      <c r="C5" s="18">
        <v>0</v>
      </c>
      <c r="D5" s="18">
        <v>0</v>
      </c>
      <c r="E5" s="18">
        <v>0.1</v>
      </c>
      <c r="F5" s="18">
        <v>0</v>
      </c>
      <c r="G5" s="116">
        <v>0</v>
      </c>
    </row>
    <row r="6" spans="2:7">
      <c r="B6" s="111">
        <v>0.2</v>
      </c>
      <c r="C6" s="18">
        <v>0</v>
      </c>
      <c r="D6" s="18">
        <v>0</v>
      </c>
      <c r="E6" s="18">
        <v>0.1</v>
      </c>
      <c r="F6" s="18">
        <v>0</v>
      </c>
      <c r="G6" s="116">
        <v>0</v>
      </c>
    </row>
    <row r="7" spans="2:7">
      <c r="B7" s="111">
        <v>0.3</v>
      </c>
      <c r="C7" s="18">
        <v>0</v>
      </c>
      <c r="D7" s="18">
        <v>0.05</v>
      </c>
      <c r="E7" s="18">
        <v>0.1</v>
      </c>
      <c r="F7" s="18">
        <v>0</v>
      </c>
      <c r="G7" s="116">
        <v>0</v>
      </c>
    </row>
    <row r="8" spans="2:7">
      <c r="B8" s="111">
        <v>0.4</v>
      </c>
      <c r="C8" s="18">
        <v>0</v>
      </c>
      <c r="D8" s="18">
        <v>0.1</v>
      </c>
      <c r="E8" s="18">
        <v>0.2</v>
      </c>
      <c r="F8" s="18">
        <v>0</v>
      </c>
      <c r="G8" s="116">
        <v>0</v>
      </c>
    </row>
    <row r="9" spans="2:7">
      <c r="B9" s="111">
        <v>0.5</v>
      </c>
      <c r="C9" s="18">
        <v>0.1</v>
      </c>
      <c r="D9" s="18">
        <v>0.2</v>
      </c>
      <c r="E9" s="18">
        <v>0.1</v>
      </c>
      <c r="F9" s="18">
        <v>0.2</v>
      </c>
      <c r="G9" s="116">
        <v>0</v>
      </c>
    </row>
    <row r="10" spans="2:7">
      <c r="B10" s="111">
        <v>0.6</v>
      </c>
      <c r="C10" s="18">
        <v>0.2</v>
      </c>
      <c r="D10" s="18">
        <v>0.3</v>
      </c>
      <c r="E10" s="18">
        <v>0.1</v>
      </c>
      <c r="F10" s="18">
        <v>0.1</v>
      </c>
      <c r="G10" s="116">
        <v>0</v>
      </c>
    </row>
    <row r="11" spans="2:7">
      <c r="B11" s="111">
        <v>0.7</v>
      </c>
      <c r="C11" s="18">
        <v>0.3</v>
      </c>
      <c r="D11" s="18">
        <v>0.2</v>
      </c>
      <c r="E11" s="18">
        <v>0.1</v>
      </c>
      <c r="F11" s="18">
        <v>0.1</v>
      </c>
      <c r="G11" s="116">
        <v>0</v>
      </c>
    </row>
    <row r="12" spans="2:7">
      <c r="B12" s="111">
        <v>0.8</v>
      </c>
      <c r="C12" s="18">
        <v>0.2</v>
      </c>
      <c r="D12" s="18">
        <v>0.1</v>
      </c>
      <c r="E12" s="18">
        <v>0.1</v>
      </c>
      <c r="F12" s="18">
        <v>0</v>
      </c>
      <c r="G12" s="116">
        <v>0</v>
      </c>
    </row>
    <row r="13" spans="2:7">
      <c r="B13" s="111">
        <v>0.9</v>
      </c>
      <c r="C13" s="18">
        <v>0.15</v>
      </c>
      <c r="D13" s="18">
        <v>0.05</v>
      </c>
      <c r="E13" s="18">
        <v>0.05</v>
      </c>
      <c r="F13" s="18">
        <v>0</v>
      </c>
      <c r="G13" s="116">
        <v>0</v>
      </c>
    </row>
    <row r="14" spans="2:7">
      <c r="B14" s="112">
        <v>1</v>
      </c>
      <c r="C14" s="20">
        <v>0.05</v>
      </c>
      <c r="D14" s="20">
        <v>0</v>
      </c>
      <c r="E14" s="20">
        <v>0</v>
      </c>
      <c r="F14" s="20">
        <v>0</v>
      </c>
      <c r="G14" s="117">
        <v>0</v>
      </c>
    </row>
    <row r="15" spans="2:7" ht="15">
      <c r="C15" s="118">
        <f>SUM(C4:C14)</f>
        <v>1</v>
      </c>
      <c r="D15" s="120">
        <f>SUM(D4:D14)</f>
        <v>1</v>
      </c>
      <c r="E15" s="119">
        <f>SUM(E4:E14)</f>
        <v>1</v>
      </c>
      <c r="F15" s="120">
        <f>SUM(F4:F14)</f>
        <v>1</v>
      </c>
    </row>
  </sheetData>
  <sheetProtection password="CC08" sheet="1" objects="1" scenarios="1"/>
  <conditionalFormatting sqref="B4:B14">
    <cfRule type="expression" dxfId="6" priority="5">
      <formula>MOD(ROW(),2)</formula>
    </cfRule>
  </conditionalFormatting>
  <conditionalFormatting sqref="C4:C14">
    <cfRule type="expression" dxfId="5" priority="4">
      <formula>MOD(ROW(),2)</formula>
    </cfRule>
  </conditionalFormatting>
  <conditionalFormatting sqref="D4:D14">
    <cfRule type="expression" dxfId="4" priority="3">
      <formula>MOD(ROW(),2)</formula>
    </cfRule>
  </conditionalFormatting>
  <conditionalFormatting sqref="E4:F14">
    <cfRule type="expression" dxfId="3" priority="2">
      <formula>MOD(ROW(),2)</formula>
    </cfRule>
  </conditionalFormatting>
  <conditionalFormatting sqref="G4:G14">
    <cfRule type="expression" dxfId="2" priority="1">
      <formula>MOD(ROW(),2)</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C48"/>
  <sheetViews>
    <sheetView workbookViewId="0">
      <selection activeCell="F4" sqref="F4"/>
    </sheetView>
  </sheetViews>
  <sheetFormatPr defaultRowHeight="15"/>
  <cols>
    <col min="1" max="1" width="2.5703125" style="4" customWidth="1"/>
    <col min="2" max="3" width="16.28515625" style="4" customWidth="1"/>
    <col min="4" max="16384" width="9.140625" style="4"/>
  </cols>
  <sheetData>
    <row r="2" spans="2:3">
      <c r="B2" s="129" t="s">
        <v>35</v>
      </c>
      <c r="C2" s="130"/>
    </row>
    <row r="3" spans="2:3">
      <c r="B3" s="281" t="s">
        <v>37</v>
      </c>
      <c r="C3" s="127" t="s">
        <v>36</v>
      </c>
    </row>
    <row r="4" spans="2:3" ht="15.75" thickBot="1">
      <c r="B4" s="282"/>
      <c r="C4" s="128" t="s">
        <v>38</v>
      </c>
    </row>
    <row r="5" spans="2:3" ht="15.75" thickTop="1">
      <c r="B5" s="124">
        <v>100</v>
      </c>
      <c r="C5" s="101">
        <v>100</v>
      </c>
    </row>
    <row r="6" spans="2:3">
      <c r="B6" s="125">
        <v>90</v>
      </c>
      <c r="C6" s="101">
        <v>98</v>
      </c>
    </row>
    <row r="7" spans="2:3">
      <c r="B7" s="125">
        <v>80</v>
      </c>
      <c r="C7" s="101">
        <v>96</v>
      </c>
    </row>
    <row r="8" spans="2:3">
      <c r="B8" s="125">
        <v>70</v>
      </c>
      <c r="C8" s="101">
        <v>93</v>
      </c>
    </row>
    <row r="9" spans="2:3">
      <c r="B9" s="125">
        <v>60</v>
      </c>
      <c r="C9" s="101">
        <v>90</v>
      </c>
    </row>
    <row r="10" spans="2:3">
      <c r="B10" s="125">
        <v>50</v>
      </c>
      <c r="C10" s="101">
        <v>85</v>
      </c>
    </row>
    <row r="11" spans="2:3">
      <c r="B11" s="125">
        <v>40</v>
      </c>
      <c r="C11" s="101">
        <v>79</v>
      </c>
    </row>
    <row r="12" spans="2:3">
      <c r="B12" s="125">
        <v>30</v>
      </c>
      <c r="C12" s="101">
        <v>69</v>
      </c>
    </row>
    <row r="13" spans="2:3">
      <c r="B13" s="125">
        <v>20</v>
      </c>
      <c r="C13" s="101">
        <v>55</v>
      </c>
    </row>
    <row r="14" spans="2:3">
      <c r="B14" s="125">
        <v>10</v>
      </c>
      <c r="C14" s="101">
        <v>35</v>
      </c>
    </row>
    <row r="15" spans="2:3">
      <c r="B15" s="126">
        <v>0</v>
      </c>
      <c r="C15" s="102">
        <v>0</v>
      </c>
    </row>
    <row r="46" spans="2:3">
      <c r="B46" s="6" t="s">
        <v>39</v>
      </c>
      <c r="C46" s="5" t="s">
        <v>40</v>
      </c>
    </row>
    <row r="47" spans="2:3">
      <c r="B47" s="6" t="s">
        <v>41</v>
      </c>
      <c r="C47" s="5" t="s">
        <v>42</v>
      </c>
    </row>
    <row r="48" spans="2:3">
      <c r="B48" s="6" t="s">
        <v>43</v>
      </c>
      <c r="C48" s="5" t="s">
        <v>44</v>
      </c>
    </row>
  </sheetData>
  <sheetProtection password="CC08" sheet="1" objects="1" scenarios="1"/>
  <mergeCells count="1">
    <mergeCell ref="B3:B4"/>
  </mergeCells>
  <conditionalFormatting sqref="B5:B15">
    <cfRule type="expression" dxfId="1" priority="2">
      <formula>MOD(ROW(),2)</formula>
    </cfRule>
  </conditionalFormatting>
  <conditionalFormatting sqref="C5:C15">
    <cfRule type="expression" dxfId="0" priority="1">
      <formula>MOD(ROW(),2)</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tabSelected="1" workbookViewId="0">
      <selection activeCell="C18" sqref="C18:D18"/>
    </sheetView>
  </sheetViews>
  <sheetFormatPr defaultRowHeight="12.75"/>
  <cols>
    <col min="1" max="1" width="4.85546875" style="14" customWidth="1"/>
    <col min="2" max="2" width="21.42578125" style="14" customWidth="1"/>
    <col min="3" max="3" width="18.85546875" style="14" customWidth="1"/>
    <col min="4" max="4" width="12.28515625" style="14" customWidth="1"/>
    <col min="5" max="5" width="18.140625" style="14" customWidth="1"/>
    <col min="6" max="6" width="10.140625" style="14" customWidth="1"/>
    <col min="7" max="16384" width="9.140625" style="14"/>
  </cols>
  <sheetData>
    <row r="1" spans="1:8" ht="20.25">
      <c r="A1" s="173" t="s">
        <v>205</v>
      </c>
      <c r="B1" s="174"/>
      <c r="C1" s="175"/>
      <c r="D1" s="174"/>
      <c r="E1" s="174"/>
      <c r="F1" s="174"/>
      <c r="G1" s="174"/>
      <c r="H1" s="174"/>
    </row>
    <row r="2" spans="1:8" ht="15">
      <c r="A2" s="186" t="s">
        <v>194</v>
      </c>
      <c r="B2" s="174"/>
      <c r="C2" s="175"/>
      <c r="D2" s="174"/>
      <c r="E2" s="174"/>
      <c r="F2" s="174"/>
      <c r="G2" s="174"/>
      <c r="H2" s="174"/>
    </row>
    <row r="3" spans="1:8">
      <c r="A3" s="174"/>
      <c r="B3" s="174"/>
      <c r="C3" s="174"/>
      <c r="D3" s="174"/>
      <c r="E3" s="174"/>
      <c r="F3" s="174"/>
      <c r="G3" s="174"/>
      <c r="H3" s="174"/>
    </row>
    <row r="4" spans="1:8" ht="15.75">
      <c r="A4" s="171" t="s">
        <v>159</v>
      </c>
      <c r="B4" s="95"/>
      <c r="C4" s="94"/>
      <c r="D4" s="95"/>
      <c r="E4" s="95"/>
      <c r="F4" s="95"/>
      <c r="G4" s="95"/>
      <c r="H4" s="95"/>
    </row>
    <row r="5" spans="1:8">
      <c r="A5" s="176">
        <v>1</v>
      </c>
      <c r="B5" s="174" t="s">
        <v>186</v>
      </c>
      <c r="C5" s="174"/>
      <c r="D5" s="174"/>
      <c r="E5" s="174"/>
      <c r="F5" s="174"/>
      <c r="G5" s="174"/>
      <c r="H5" s="174"/>
    </row>
    <row r="6" spans="1:8">
      <c r="A6" s="176">
        <v>2</v>
      </c>
      <c r="B6" s="174" t="s">
        <v>190</v>
      </c>
      <c r="C6" s="174"/>
      <c r="D6" s="174"/>
      <c r="E6" s="174"/>
      <c r="F6" s="174"/>
      <c r="G6" s="174"/>
      <c r="H6" s="174"/>
    </row>
    <row r="7" spans="1:8">
      <c r="A7" s="176">
        <v>3</v>
      </c>
      <c r="B7" s="174" t="s">
        <v>191</v>
      </c>
      <c r="C7" s="174"/>
      <c r="D7" s="174"/>
      <c r="E7" s="174"/>
      <c r="F7" s="174"/>
      <c r="G7" s="174"/>
      <c r="H7" s="174"/>
    </row>
    <row r="8" spans="1:8">
      <c r="A8" s="176">
        <v>4</v>
      </c>
      <c r="B8" s="174" t="s">
        <v>192</v>
      </c>
      <c r="C8" s="174"/>
      <c r="D8" s="174"/>
      <c r="E8" s="174"/>
      <c r="F8" s="174"/>
      <c r="G8" s="174"/>
      <c r="H8" s="174"/>
    </row>
    <row r="9" spans="1:8">
      <c r="A9" s="176">
        <v>5</v>
      </c>
      <c r="B9" s="174" t="s">
        <v>184</v>
      </c>
      <c r="C9" s="174"/>
      <c r="D9" s="174"/>
      <c r="E9" s="174"/>
      <c r="F9" s="174"/>
      <c r="G9" s="174"/>
      <c r="H9" s="174"/>
    </row>
    <row r="10" spans="1:8">
      <c r="A10" s="176"/>
      <c r="B10" s="214" t="s">
        <v>195</v>
      </c>
      <c r="C10" s="214"/>
      <c r="D10" s="214"/>
      <c r="E10" s="214"/>
      <c r="F10" s="214"/>
      <c r="G10" s="214"/>
      <c r="H10" s="174"/>
    </row>
    <row r="11" spans="1:8">
      <c r="A11" s="174"/>
      <c r="B11" s="214"/>
      <c r="C11" s="214"/>
      <c r="D11" s="214"/>
      <c r="E11" s="214"/>
      <c r="F11" s="214"/>
      <c r="G11" s="214"/>
      <c r="H11" s="174"/>
    </row>
    <row r="12" spans="1:8" ht="14.25" customHeight="1">
      <c r="A12" s="176">
        <v>6</v>
      </c>
      <c r="B12" s="174" t="s">
        <v>202</v>
      </c>
      <c r="C12" s="174"/>
      <c r="D12" s="174"/>
      <c r="E12" s="174"/>
      <c r="F12" s="174"/>
      <c r="G12" s="174"/>
      <c r="H12" s="174"/>
    </row>
    <row r="13" spans="1:8">
      <c r="A13" s="176">
        <v>7</v>
      </c>
      <c r="B13" s="174" t="s">
        <v>208</v>
      </c>
      <c r="C13" s="174"/>
      <c r="D13" s="174"/>
      <c r="E13" s="174"/>
      <c r="F13" s="174"/>
      <c r="G13" s="174"/>
      <c r="H13" s="174"/>
    </row>
    <row r="14" spans="1:8">
      <c r="A14" s="176">
        <v>8</v>
      </c>
      <c r="B14" s="196" t="s">
        <v>206</v>
      </c>
      <c r="C14" s="174"/>
      <c r="D14" s="174"/>
      <c r="E14" s="174"/>
      <c r="F14" s="174"/>
      <c r="G14" s="174"/>
      <c r="H14" s="174"/>
    </row>
    <row r="15" spans="1:8" ht="8.25" customHeight="1">
      <c r="A15" s="176"/>
      <c r="B15" s="174"/>
      <c r="C15" s="174"/>
      <c r="D15" s="174"/>
      <c r="E15" s="174"/>
      <c r="F15" s="174"/>
      <c r="G15" s="174"/>
      <c r="H15" s="174"/>
    </row>
    <row r="16" spans="1:8">
      <c r="A16" s="174"/>
      <c r="B16" s="174"/>
      <c r="C16" s="174"/>
      <c r="D16" s="174"/>
      <c r="E16" s="174"/>
      <c r="F16" s="174"/>
      <c r="G16" s="174"/>
      <c r="H16" s="174"/>
    </row>
    <row r="17" spans="1:8">
      <c r="A17" s="174"/>
      <c r="B17" s="174" t="s">
        <v>167</v>
      </c>
      <c r="C17" s="183">
        <f ca="1">NOW()</f>
        <v>42905.546022106479</v>
      </c>
      <c r="D17" s="184">
        <f ca="1">NOW()</f>
        <v>42905.546022106479</v>
      </c>
      <c r="E17" s="174"/>
      <c r="F17" s="174"/>
      <c r="G17" s="174"/>
      <c r="H17" s="174"/>
    </row>
    <row r="18" spans="1:8">
      <c r="A18" s="174"/>
      <c r="B18" s="174" t="s">
        <v>187</v>
      </c>
      <c r="C18" s="217"/>
      <c r="D18" s="217"/>
      <c r="E18" s="174"/>
      <c r="F18" s="174"/>
      <c r="G18" s="174"/>
      <c r="H18" s="174"/>
    </row>
    <row r="19" spans="1:8">
      <c r="A19" s="174"/>
      <c r="B19" s="174" t="s">
        <v>183</v>
      </c>
      <c r="C19" s="215"/>
      <c r="D19" s="215"/>
      <c r="E19" s="174"/>
      <c r="F19" s="174"/>
      <c r="G19" s="174"/>
      <c r="H19" s="174"/>
    </row>
    <row r="20" spans="1:8">
      <c r="A20" s="174"/>
      <c r="B20" s="174"/>
      <c r="C20" s="215"/>
      <c r="D20" s="215"/>
      <c r="E20" s="174"/>
      <c r="F20" s="174"/>
      <c r="G20" s="174"/>
      <c r="H20" s="174"/>
    </row>
    <row r="21" spans="1:8">
      <c r="A21" s="174"/>
      <c r="B21" s="174" t="s">
        <v>193</v>
      </c>
      <c r="C21" s="187"/>
      <c r="D21" s="174"/>
      <c r="E21" s="174"/>
      <c r="F21" s="174"/>
      <c r="G21" s="174"/>
      <c r="H21" s="174"/>
    </row>
    <row r="22" spans="1:8">
      <c r="A22" s="174"/>
      <c r="B22" s="174"/>
      <c r="C22" s="174"/>
      <c r="D22" s="174"/>
      <c r="E22" s="174"/>
      <c r="F22" s="174"/>
      <c r="G22" s="174"/>
      <c r="H22" s="174"/>
    </row>
    <row r="23" spans="1:8">
      <c r="A23" s="174"/>
      <c r="B23" s="174" t="s">
        <v>182</v>
      </c>
      <c r="C23" s="188"/>
      <c r="D23" s="174"/>
      <c r="E23" s="174"/>
      <c r="F23" s="174"/>
      <c r="G23" s="174"/>
      <c r="H23" s="174"/>
    </row>
    <row r="24" spans="1:8">
      <c r="A24" s="174"/>
      <c r="B24" s="174" t="s">
        <v>166</v>
      </c>
      <c r="C24" s="189"/>
      <c r="D24" s="174"/>
      <c r="E24" s="174"/>
      <c r="F24" s="174"/>
      <c r="G24" s="174"/>
      <c r="H24" s="174"/>
    </row>
    <row r="25" spans="1:8">
      <c r="A25" s="174"/>
      <c r="B25" s="174" t="s">
        <v>170</v>
      </c>
      <c r="C25" s="189"/>
      <c r="D25" s="174"/>
      <c r="E25" s="174"/>
      <c r="F25" s="174"/>
      <c r="G25" s="174"/>
      <c r="H25" s="174"/>
    </row>
    <row r="26" spans="1:8">
      <c r="A26" s="174"/>
      <c r="B26" s="174"/>
      <c r="C26" s="174"/>
      <c r="D26" s="174"/>
      <c r="E26" s="174"/>
      <c r="F26" s="174"/>
      <c r="G26" s="174"/>
      <c r="H26" s="174"/>
    </row>
    <row r="27" spans="1:8">
      <c r="A27" s="174"/>
      <c r="B27" s="174" t="s">
        <v>201</v>
      </c>
      <c r="C27" s="190">
        <f>IF(C60&lt;&gt;100%,"N/A",'Fan Analysis'!N6)</f>
        <v>0</v>
      </c>
      <c r="D27" s="174"/>
      <c r="E27" s="174"/>
      <c r="F27" s="174"/>
      <c r="G27" s="174"/>
      <c r="H27" s="174"/>
    </row>
    <row r="28" spans="1:8">
      <c r="A28" s="174"/>
      <c r="B28" s="193" t="s">
        <v>200</v>
      </c>
      <c r="C28" s="191">
        <f>C27*FanRebate</f>
        <v>0</v>
      </c>
      <c r="D28" s="174"/>
      <c r="E28" s="174"/>
      <c r="F28" s="174"/>
      <c r="G28" s="174"/>
      <c r="H28" s="174"/>
    </row>
    <row r="29" spans="1:8">
      <c r="A29" s="174"/>
      <c r="B29" s="174"/>
      <c r="C29" s="174"/>
      <c r="D29" s="174"/>
      <c r="E29" s="174"/>
      <c r="F29" s="174"/>
      <c r="G29" s="174"/>
      <c r="H29" s="174"/>
    </row>
    <row r="30" spans="1:8" ht="15.75">
      <c r="A30" s="171" t="s">
        <v>171</v>
      </c>
      <c r="B30" s="95"/>
      <c r="C30" s="95"/>
      <c r="D30" s="95"/>
      <c r="E30" s="95"/>
      <c r="F30" s="95"/>
      <c r="G30" s="95"/>
      <c r="H30" s="95"/>
    </row>
    <row r="31" spans="1:8">
      <c r="A31" s="174" t="s">
        <v>203</v>
      </c>
      <c r="B31" s="174"/>
      <c r="C31" s="174"/>
      <c r="D31" s="174"/>
      <c r="E31" s="174"/>
      <c r="F31" s="174"/>
      <c r="G31" s="174"/>
      <c r="H31" s="174"/>
    </row>
    <row r="32" spans="1:8" ht="15.75">
      <c r="A32" s="185"/>
      <c r="B32" s="174"/>
      <c r="C32" s="174"/>
      <c r="D32" s="174"/>
      <c r="E32" s="174"/>
      <c r="F32" s="174"/>
      <c r="G32" s="174"/>
      <c r="H32" s="174"/>
    </row>
    <row r="33" spans="1:8">
      <c r="A33" s="175" t="s">
        <v>159</v>
      </c>
      <c r="B33" s="174"/>
      <c r="C33" s="174"/>
      <c r="D33" s="174"/>
      <c r="E33" s="174"/>
      <c r="F33" s="174"/>
      <c r="G33" s="174"/>
      <c r="H33" s="174"/>
    </row>
    <row r="34" spans="1:8">
      <c r="A34" s="176">
        <v>1</v>
      </c>
      <c r="B34" s="216" t="s">
        <v>179</v>
      </c>
      <c r="C34" s="216"/>
      <c r="D34" s="216"/>
      <c r="E34" s="216"/>
      <c r="F34" s="216"/>
      <c r="G34" s="216"/>
      <c r="H34" s="174"/>
    </row>
    <row r="35" spans="1:8">
      <c r="A35" s="176"/>
      <c r="B35" s="216"/>
      <c r="C35" s="216"/>
      <c r="D35" s="216"/>
      <c r="E35" s="216"/>
      <c r="F35" s="216"/>
      <c r="G35" s="216"/>
      <c r="H35" s="174"/>
    </row>
    <row r="36" spans="1:8">
      <c r="A36" s="176">
        <v>2</v>
      </c>
      <c r="B36" s="216" t="s">
        <v>199</v>
      </c>
      <c r="C36" s="216"/>
      <c r="D36" s="216"/>
      <c r="E36" s="216"/>
      <c r="F36" s="216"/>
      <c r="G36" s="216"/>
      <c r="H36" s="174"/>
    </row>
    <row r="37" spans="1:8">
      <c r="A37" s="176"/>
      <c r="B37" s="216"/>
      <c r="C37" s="216"/>
      <c r="D37" s="216"/>
      <c r="E37" s="216"/>
      <c r="F37" s="216"/>
      <c r="G37" s="216"/>
      <c r="H37" s="174"/>
    </row>
    <row r="38" spans="1:8" ht="13.5" customHeight="1">
      <c r="A38" s="176"/>
      <c r="B38" s="214" t="s">
        <v>196</v>
      </c>
      <c r="C38" s="214"/>
      <c r="D38" s="214"/>
      <c r="E38" s="214"/>
      <c r="F38" s="214"/>
      <c r="G38" s="214"/>
      <c r="H38" s="174"/>
    </row>
    <row r="39" spans="1:8">
      <c r="A39" s="176">
        <v>3</v>
      </c>
      <c r="B39" s="174" t="s">
        <v>180</v>
      </c>
      <c r="C39" s="174"/>
      <c r="D39" s="174"/>
      <c r="E39" s="174"/>
      <c r="F39" s="174"/>
      <c r="G39" s="174"/>
      <c r="H39" s="174"/>
    </row>
    <row r="40" spans="1:8">
      <c r="A40" s="176">
        <v>4</v>
      </c>
      <c r="B40" s="174" t="s">
        <v>181</v>
      </c>
      <c r="C40" s="174"/>
      <c r="D40" s="174"/>
      <c r="E40" s="174"/>
      <c r="F40" s="174"/>
      <c r="G40" s="174"/>
      <c r="H40" s="174"/>
    </row>
    <row r="41" spans="1:8">
      <c r="A41" s="176">
        <v>5</v>
      </c>
      <c r="B41" s="174" t="s">
        <v>185</v>
      </c>
      <c r="C41" s="174"/>
      <c r="D41" s="174"/>
      <c r="E41" s="174"/>
      <c r="F41" s="174"/>
      <c r="G41" s="174"/>
      <c r="H41" s="174"/>
    </row>
    <row r="42" spans="1:8">
      <c r="A42" s="176">
        <v>6</v>
      </c>
      <c r="B42" s="174" t="s">
        <v>202</v>
      </c>
      <c r="C42" s="174"/>
      <c r="D42" s="174"/>
      <c r="E42" s="174"/>
      <c r="F42" s="174"/>
      <c r="G42" s="174"/>
      <c r="H42" s="174"/>
    </row>
    <row r="43" spans="1:8">
      <c r="A43" s="176">
        <v>7</v>
      </c>
      <c r="B43" s="174" t="s">
        <v>188</v>
      </c>
      <c r="C43" s="174"/>
      <c r="D43" s="174"/>
      <c r="E43" s="174"/>
      <c r="F43" s="174"/>
      <c r="G43" s="174"/>
      <c r="H43" s="174"/>
    </row>
    <row r="44" spans="1:8">
      <c r="A44" s="176">
        <v>8</v>
      </c>
      <c r="B44" s="196" t="s">
        <v>206</v>
      </c>
      <c r="C44" s="174"/>
      <c r="D44" s="174"/>
      <c r="E44" s="174"/>
      <c r="F44" s="174"/>
      <c r="G44" s="174"/>
      <c r="H44" s="174"/>
    </row>
    <row r="45" spans="1:8">
      <c r="A45" s="174"/>
      <c r="B45" s="174"/>
      <c r="C45" s="174"/>
      <c r="D45" s="174"/>
      <c r="E45" s="174"/>
      <c r="F45" s="174"/>
      <c r="G45" s="174"/>
      <c r="H45" s="174"/>
    </row>
    <row r="46" spans="1:8" ht="12.75" customHeight="1">
      <c r="A46" s="174"/>
      <c r="B46" s="174" t="s">
        <v>172</v>
      </c>
      <c r="C46" s="174"/>
      <c r="D46" s="174"/>
      <c r="E46" s="174"/>
      <c r="F46" s="174"/>
      <c r="G46" s="174"/>
      <c r="H46" s="174"/>
    </row>
    <row r="47" spans="1:8">
      <c r="A47" s="174"/>
      <c r="B47" s="192" t="s">
        <v>197</v>
      </c>
      <c r="C47" s="174"/>
      <c r="D47" s="174"/>
      <c r="E47" s="174"/>
      <c r="F47" s="174"/>
      <c r="G47" s="174"/>
      <c r="H47" s="174"/>
    </row>
    <row r="48" spans="1:8">
      <c r="A48" s="174"/>
      <c r="B48" s="176" t="s">
        <v>173</v>
      </c>
      <c r="C48" s="176" t="s">
        <v>174</v>
      </c>
      <c r="D48" s="174"/>
      <c r="E48" s="174"/>
      <c r="F48" s="174"/>
      <c r="G48" s="174"/>
      <c r="H48" s="174"/>
    </row>
    <row r="49" spans="1:8" ht="12.75" hidden="1" customHeight="1">
      <c r="B49" s="63" t="s">
        <v>204</v>
      </c>
      <c r="C49" s="172">
        <v>0</v>
      </c>
      <c r="D49" s="174"/>
      <c r="E49" s="195"/>
      <c r="F49" s="194"/>
      <c r="G49" s="194"/>
      <c r="H49" s="174"/>
    </row>
    <row r="50" spans="1:8">
      <c r="B50" s="63">
        <v>0.1</v>
      </c>
      <c r="C50" s="172">
        <v>0</v>
      </c>
      <c r="D50" s="174"/>
      <c r="E50" s="194"/>
      <c r="F50" s="194"/>
      <c r="G50" s="194"/>
      <c r="H50" s="174"/>
    </row>
    <row r="51" spans="1:8">
      <c r="B51" s="63">
        <v>0.2</v>
      </c>
      <c r="C51" s="172">
        <v>0</v>
      </c>
      <c r="D51" s="174"/>
      <c r="E51" s="205" t="s">
        <v>189</v>
      </c>
      <c r="F51" s="206"/>
      <c r="G51" s="207"/>
      <c r="H51" s="174"/>
    </row>
    <row r="52" spans="1:8">
      <c r="B52" s="63">
        <v>0.3</v>
      </c>
      <c r="C52" s="172">
        <v>0.05</v>
      </c>
      <c r="D52" s="174"/>
      <c r="E52" s="208"/>
      <c r="F52" s="209"/>
      <c r="G52" s="210"/>
      <c r="H52" s="174"/>
    </row>
    <row r="53" spans="1:8">
      <c r="B53" s="63">
        <v>0.4</v>
      </c>
      <c r="C53" s="172">
        <v>0.05</v>
      </c>
      <c r="D53" s="174"/>
      <c r="E53" s="208"/>
      <c r="F53" s="209"/>
      <c r="G53" s="210"/>
      <c r="H53" s="174"/>
    </row>
    <row r="54" spans="1:8">
      <c r="B54" s="63">
        <v>0.5</v>
      </c>
      <c r="C54" s="172">
        <v>0.05</v>
      </c>
      <c r="D54" s="174"/>
      <c r="E54" s="208"/>
      <c r="F54" s="209"/>
      <c r="G54" s="210"/>
      <c r="H54" s="174"/>
    </row>
    <row r="55" spans="1:8" ht="12.75" customHeight="1">
      <c r="B55" s="63">
        <v>0.6</v>
      </c>
      <c r="C55" s="172">
        <v>0.1</v>
      </c>
      <c r="D55" s="174"/>
      <c r="E55" s="211"/>
      <c r="F55" s="212"/>
      <c r="G55" s="213"/>
      <c r="H55" s="174"/>
    </row>
    <row r="56" spans="1:8" ht="12.75" customHeight="1">
      <c r="B56" s="63">
        <v>0.7</v>
      </c>
      <c r="C56" s="172">
        <v>0.2</v>
      </c>
      <c r="D56" s="174"/>
      <c r="E56" s="178"/>
      <c r="F56" s="178"/>
      <c r="G56" s="178"/>
      <c r="H56" s="174"/>
    </row>
    <row r="57" spans="1:8">
      <c r="B57" s="63">
        <v>0.8</v>
      </c>
      <c r="C57" s="172">
        <v>0.45</v>
      </c>
      <c r="D57" s="174"/>
      <c r="E57" s="178"/>
      <c r="F57" s="178"/>
      <c r="G57" s="178"/>
      <c r="H57" s="174"/>
    </row>
    <row r="58" spans="1:8">
      <c r="B58" s="63">
        <v>0.9</v>
      </c>
      <c r="C58" s="172">
        <v>0.05</v>
      </c>
      <c r="D58" s="174"/>
      <c r="E58" s="178"/>
      <c r="F58" s="178"/>
      <c r="G58" s="178"/>
      <c r="H58" s="174"/>
    </row>
    <row r="59" spans="1:8">
      <c r="B59" s="63">
        <v>1</v>
      </c>
      <c r="C59" s="172">
        <v>0.05</v>
      </c>
      <c r="D59" s="174"/>
      <c r="E59" s="178"/>
      <c r="F59" s="178"/>
      <c r="G59" s="178"/>
      <c r="H59" s="174"/>
    </row>
    <row r="60" spans="1:8">
      <c r="A60" s="174"/>
      <c r="B60" s="174"/>
      <c r="C60" s="177">
        <f>SUM(C49:C59)</f>
        <v>1</v>
      </c>
      <c r="D60" s="174"/>
      <c r="E60" s="178"/>
      <c r="F60" s="178"/>
      <c r="G60" s="178"/>
      <c r="H60" s="174"/>
    </row>
    <row r="61" spans="1:8">
      <c r="A61" s="174"/>
      <c r="B61" s="174"/>
      <c r="C61" s="174"/>
      <c r="D61" s="174"/>
      <c r="E61" s="178"/>
      <c r="F61" s="178"/>
      <c r="G61" s="178"/>
      <c r="H61" s="174"/>
    </row>
    <row r="62" spans="1:8">
      <c r="A62" s="174"/>
      <c r="B62" s="174"/>
      <c r="C62" s="174"/>
      <c r="D62" s="174"/>
      <c r="E62" s="174"/>
      <c r="F62" s="174"/>
      <c r="G62" s="174"/>
      <c r="H62" s="174"/>
    </row>
  </sheetData>
  <sheetProtection algorithmName="SHA-512" hashValue="WyO3ZitZSUkZYvH0f859Rkqqg3yv+/e2+vtsoZ40mbCF7vM1Aa018oG1fuqNJTQZQuR/xwlgwy+5TvbBVL98dQ==" saltValue="WbDOWI83a8aYeZRDBlDBbw==" spinCount="100000" sheet="1" selectLockedCells="1"/>
  <mergeCells count="7">
    <mergeCell ref="E51:G55"/>
    <mergeCell ref="B10:G11"/>
    <mergeCell ref="C19:D20"/>
    <mergeCell ref="B34:G35"/>
    <mergeCell ref="B36:G37"/>
    <mergeCell ref="C18:D18"/>
    <mergeCell ref="B38:G38"/>
  </mergeCells>
  <conditionalFormatting sqref="C60">
    <cfRule type="expression" dxfId="40" priority="18" stopIfTrue="1">
      <formula>$B$47="No"</formula>
    </cfRule>
    <cfRule type="expression" dxfId="39" priority="19">
      <formula>C60&lt;&gt;100%</formula>
    </cfRule>
  </conditionalFormatting>
  <conditionalFormatting sqref="C49:C59">
    <cfRule type="expression" dxfId="38" priority="20">
      <formula>$B$47="No"</formula>
    </cfRule>
  </conditionalFormatting>
  <dataValidations count="1">
    <dataValidation type="list" allowBlank="1" showInputMessage="1" showErrorMessage="1" sqref="B47">
      <formula1>"No,Yes"</formula1>
    </dataValidation>
  </dataValidations>
  <pageMargins left="0.5" right="0.5" top="0.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G2:Z85"/>
  <sheetViews>
    <sheetView workbookViewId="0">
      <selection activeCell="C1" sqref="C1"/>
    </sheetView>
  </sheetViews>
  <sheetFormatPr defaultRowHeight="15"/>
  <cols>
    <col min="1" max="1" width="4.85546875" style="201" customWidth="1"/>
    <col min="2" max="2" width="21.42578125" style="201" customWidth="1"/>
    <col min="3" max="3" width="18.85546875" style="201" customWidth="1"/>
    <col min="4" max="4" width="12.28515625" style="201" customWidth="1"/>
    <col min="5" max="5" width="18.140625" style="201" customWidth="1"/>
    <col min="6" max="6" width="10.140625" style="201" customWidth="1"/>
    <col min="7" max="7" width="9.140625" style="201"/>
    <col min="8" max="26" width="9.140625" style="84"/>
    <col min="27" max="16384" width="9.140625" style="201"/>
  </cols>
  <sheetData>
    <row r="2" spans="7:7" ht="15.75">
      <c r="G2" s="200" t="str">
        <f>'SVP HVAC Fan VSD Savings Calc'!$A$1</f>
        <v>HVAC Fan VSD Rebate Calculator - Silicon Valley Power</v>
      </c>
    </row>
    <row r="48" s="84" customFormat="1"/>
    <row r="49" s="84" customFormat="1"/>
    <row r="50" s="84" customFormat="1"/>
    <row r="51" s="84" customFormat="1"/>
    <row r="52" s="84" customFormat="1"/>
    <row r="53" s="84" customFormat="1"/>
    <row r="54" s="84" customFormat="1"/>
    <row r="55" s="84" customFormat="1"/>
    <row r="56" s="84" customFormat="1"/>
    <row r="57" s="84" customFormat="1"/>
    <row r="58" s="84" customFormat="1"/>
    <row r="59" s="84" customFormat="1"/>
    <row r="60" s="84" customFormat="1"/>
    <row r="61" s="84" customFormat="1"/>
    <row r="62" s="84" customFormat="1"/>
    <row r="63" s="84" customFormat="1"/>
    <row r="64" s="84" customFormat="1"/>
    <row r="65" s="84" customFormat="1"/>
    <row r="66" s="84" customFormat="1"/>
    <row r="67" s="84" customFormat="1"/>
    <row r="68" s="84" customFormat="1"/>
    <row r="69" s="84" customFormat="1"/>
    <row r="70" s="84" customFormat="1"/>
    <row r="71" s="84" customFormat="1"/>
    <row r="72" s="84" customFormat="1"/>
    <row r="73" s="84" customFormat="1"/>
    <row r="74" s="84" customFormat="1"/>
    <row r="75" s="84" customFormat="1"/>
    <row r="76" s="84" customFormat="1"/>
    <row r="77" s="84" customFormat="1"/>
    <row r="78" s="84" customFormat="1"/>
    <row r="79" s="84" customFormat="1"/>
    <row r="80" s="84" customFormat="1"/>
    <row r="81" s="84" customFormat="1"/>
    <row r="82" s="84" customFormat="1"/>
    <row r="83" s="84" customFormat="1"/>
    <row r="84" s="84" customFormat="1"/>
    <row r="85" s="84" customFormat="1"/>
  </sheetData>
  <sheetProtection algorithmName="SHA-512" hashValue="EKRzCuEqmFpHBGUIrV4GJrvYcMohfydXF8J+2uDDYrQbtmgSXQIi9GoFoIBZ9PzdsNEQoWW03vuXeRKoTEU8rw==" saltValue="7DyfVQc/G0C9ABva+TuuqQ==" spinCount="100000" sheet="1" objects="1" scenarios="1" selectLockedCells="1" selectUnlockedCells="1"/>
  <pageMargins left="0.7" right="0.7" top="0.75" bottom="0.75" header="0.3" footer="0.3"/>
  <pageSetup scale="9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sheetPr>
  <dimension ref="A1:V85"/>
  <sheetViews>
    <sheetView showGridLines="0" zoomScaleNormal="100" workbookViewId="0">
      <selection activeCell="F4" sqref="F4"/>
    </sheetView>
  </sheetViews>
  <sheetFormatPr defaultRowHeight="12.75"/>
  <cols>
    <col min="1" max="1" width="3" style="14" customWidth="1"/>
    <col min="2" max="2" width="11.28515625" style="14" customWidth="1"/>
    <col min="3" max="3" width="11" style="14" customWidth="1"/>
    <col min="4" max="4" width="8.7109375" style="14" customWidth="1"/>
    <col min="5" max="5" width="7.42578125" style="14" customWidth="1"/>
    <col min="6" max="6" width="23.28515625" style="14" bestFit="1" customWidth="1"/>
    <col min="7" max="7" width="3.5703125" style="14" customWidth="1"/>
    <col min="8" max="8" width="10.85546875" style="14" customWidth="1"/>
    <col min="9" max="9" width="5.42578125" style="14" customWidth="1"/>
    <col min="10" max="10" width="22" style="14" customWidth="1"/>
    <col min="11" max="11" width="5.42578125" style="14" customWidth="1"/>
    <col min="12" max="12" width="15.7109375" style="14" customWidth="1"/>
    <col min="13" max="13" width="12" style="14" customWidth="1"/>
    <col min="14" max="14" width="15" style="14" customWidth="1"/>
    <col min="15" max="15" width="9.28515625" style="14" customWidth="1"/>
    <col min="16" max="16" width="10" style="14" customWidth="1"/>
    <col min="17" max="17" width="15" style="14" customWidth="1"/>
    <col min="18" max="18" width="8.28515625" style="14" customWidth="1"/>
    <col min="19" max="19" width="9.5703125" style="14" customWidth="1"/>
    <col min="20" max="16384" width="9.140625" style="14"/>
  </cols>
  <sheetData>
    <row r="1" spans="1:22" ht="23.25">
      <c r="B1" s="98" t="str">
        <f>'SVP HVAC Fan VSD Savings Calc'!A1</f>
        <v>HVAC Fan VSD Rebate Calculator - Silicon Valley Power</v>
      </c>
    </row>
    <row r="2" spans="1:22" ht="13.5" thickBot="1"/>
    <row r="3" spans="1:22" ht="13.5" thickBot="1">
      <c r="A3" s="13"/>
      <c r="B3" s="220" t="s">
        <v>48</v>
      </c>
      <c r="C3" s="221"/>
      <c r="D3" s="221"/>
      <c r="E3" s="221"/>
      <c r="F3" s="244"/>
      <c r="G3" s="221"/>
      <c r="H3" s="221"/>
      <c r="I3" s="221"/>
      <c r="J3" s="222"/>
      <c r="K3" s="7"/>
      <c r="L3" s="233" t="s">
        <v>54</v>
      </c>
      <c r="M3" s="234"/>
      <c r="N3" s="234"/>
      <c r="O3" s="234"/>
      <c r="P3" s="234"/>
      <c r="Q3" s="234"/>
      <c r="R3" s="234"/>
      <c r="S3" s="234"/>
      <c r="T3" s="235"/>
    </row>
    <row r="4" spans="1:22">
      <c r="A4" s="13"/>
      <c r="B4" s="179" t="s">
        <v>175</v>
      </c>
      <c r="C4" s="34"/>
      <c r="D4" s="34"/>
      <c r="E4" s="34"/>
      <c r="F4" s="180">
        <f>IF('SVP HVAC Fan VSD Savings Calc'!C24="",1,'SVP HVAC Fan VSD Savings Calc'!C24)</f>
        <v>1</v>
      </c>
      <c r="G4" s="34"/>
      <c r="H4" s="34"/>
      <c r="I4" s="34"/>
      <c r="J4" s="34"/>
      <c r="K4" s="7"/>
      <c r="L4" s="7"/>
      <c r="M4" s="7"/>
      <c r="N4" s="7"/>
      <c r="O4" s="7"/>
      <c r="P4" s="7"/>
      <c r="Q4" s="7"/>
      <c r="R4" s="7"/>
      <c r="S4" s="7"/>
      <c r="T4" s="7"/>
    </row>
    <row r="5" spans="1:22">
      <c r="A5" s="13"/>
      <c r="B5" s="246" t="s">
        <v>176</v>
      </c>
      <c r="C5" s="246"/>
      <c r="D5" s="246"/>
      <c r="E5" s="246"/>
      <c r="F5" s="181">
        <f>IF('SVP HVAC Fan VSD Savings Calc'!C23="",0.001,'SVP HVAC Fan VSD Savings Calc'!C23)</f>
        <v>1E-3</v>
      </c>
      <c r="G5" s="35" t="s">
        <v>7</v>
      </c>
      <c r="H5" s="36"/>
      <c r="I5" s="37"/>
      <c r="J5" s="38"/>
      <c r="K5" s="8"/>
    </row>
    <row r="6" spans="1:22">
      <c r="A6" s="13"/>
      <c r="B6" s="246" t="s">
        <v>168</v>
      </c>
      <c r="C6" s="246"/>
      <c r="D6" s="246"/>
      <c r="E6" s="246"/>
      <c r="F6" s="170">
        <f>VLOOKUP(F5,Motor_eff,3)</f>
        <v>0.55000000000000004</v>
      </c>
      <c r="G6" s="36" t="s">
        <v>169</v>
      </c>
      <c r="H6" s="36"/>
      <c r="I6" s="39"/>
      <c r="J6" s="38"/>
      <c r="K6" s="15"/>
      <c r="L6" s="14" t="s">
        <v>58</v>
      </c>
      <c r="N6" s="32">
        <f>IF('SVP HVAC Fan VSD Savings Calc'!C60&lt;&gt;100%,"N/A",T24)</f>
        <v>0</v>
      </c>
    </row>
    <row r="7" spans="1:22">
      <c r="A7" s="13"/>
      <c r="B7" s="246" t="s">
        <v>160</v>
      </c>
      <c r="C7" s="246"/>
      <c r="D7" s="246"/>
      <c r="E7" s="246"/>
      <c r="F7" s="169">
        <v>0.8</v>
      </c>
      <c r="G7" s="36" t="s">
        <v>161</v>
      </c>
      <c r="H7" s="36"/>
      <c r="I7" s="39"/>
      <c r="J7" s="38"/>
      <c r="K7" s="9"/>
      <c r="L7" s="14" t="s">
        <v>57</v>
      </c>
      <c r="N7" s="33" t="e">
        <f>N6/P24</f>
        <v>#DIV/0!</v>
      </c>
    </row>
    <row r="8" spans="1:22">
      <c r="A8" s="13"/>
      <c r="B8" s="246" t="s">
        <v>61</v>
      </c>
      <c r="C8" s="246"/>
      <c r="D8" s="246"/>
      <c r="E8" s="246"/>
      <c r="F8" s="161">
        <f>F4*F5*F7/F6*0.7467</f>
        <v>1.0861090909090908E-3</v>
      </c>
      <c r="G8" s="36" t="s">
        <v>45</v>
      </c>
      <c r="H8" s="36"/>
      <c r="I8" s="40"/>
      <c r="J8" s="38"/>
      <c r="K8" s="8"/>
      <c r="L8" s="14" t="s">
        <v>66</v>
      </c>
      <c r="N8" s="32">
        <f>N6/F8</f>
        <v>0</v>
      </c>
    </row>
    <row r="9" spans="1:22" ht="13.5" customHeight="1">
      <c r="A9" s="13"/>
      <c r="B9" s="245" t="s">
        <v>162</v>
      </c>
      <c r="C9" s="245"/>
      <c r="D9" s="245"/>
      <c r="E9" s="245"/>
      <c r="F9" s="160"/>
      <c r="G9" s="159" t="s">
        <v>163</v>
      </c>
      <c r="H9" s="239" t="s">
        <v>72</v>
      </c>
      <c r="I9" s="239"/>
      <c r="J9" s="239"/>
      <c r="K9" s="8"/>
    </row>
    <row r="10" spans="1:22" ht="13.5" customHeight="1" thickBot="1">
      <c r="A10" s="13"/>
      <c r="B10" s="55"/>
      <c r="C10" s="55"/>
      <c r="D10" s="55"/>
      <c r="E10" s="55"/>
      <c r="F10" s="55"/>
      <c r="G10" s="159"/>
      <c r="H10" s="240"/>
      <c r="I10" s="240"/>
      <c r="J10" s="240"/>
      <c r="K10" s="8"/>
    </row>
    <row r="11" spans="1:22" ht="13.5" thickBot="1">
      <c r="A11" s="13"/>
      <c r="B11" s="220" t="s">
        <v>53</v>
      </c>
      <c r="C11" s="221"/>
      <c r="D11" s="221"/>
      <c r="E11" s="221"/>
      <c r="F11" s="221"/>
      <c r="G11" s="221"/>
      <c r="H11" s="221"/>
      <c r="I11" s="221"/>
      <c r="J11" s="222"/>
      <c r="L11" s="241" t="s">
        <v>63</v>
      </c>
      <c r="M11" s="242"/>
      <c r="N11" s="241" t="s">
        <v>60</v>
      </c>
      <c r="O11" s="243"/>
      <c r="P11" s="242"/>
      <c r="Q11" s="241" t="s">
        <v>65</v>
      </c>
      <c r="R11" s="243"/>
      <c r="S11" s="242"/>
      <c r="T11" s="28" t="s">
        <v>59</v>
      </c>
      <c r="V11" s="14" t="str">
        <f>"Existing - "&amp;E17</f>
        <v>Existing - Constant Volume</v>
      </c>
    </row>
    <row r="12" spans="1:22" ht="13.5" thickBot="1">
      <c r="A12" s="13"/>
      <c r="B12" s="42"/>
      <c r="C12" s="38"/>
      <c r="D12" s="38"/>
      <c r="E12" s="38"/>
      <c r="F12" s="38"/>
      <c r="G12" s="38"/>
      <c r="H12" s="38"/>
      <c r="I12" s="38"/>
      <c r="J12" s="38"/>
      <c r="K12" s="8"/>
      <c r="L12" s="29" t="s">
        <v>36</v>
      </c>
      <c r="M12" s="30" t="s">
        <v>64</v>
      </c>
      <c r="N12" s="29" t="s">
        <v>62</v>
      </c>
      <c r="O12" s="31" t="s">
        <v>45</v>
      </c>
      <c r="P12" s="30" t="s">
        <v>55</v>
      </c>
      <c r="Q12" s="29" t="s">
        <v>62</v>
      </c>
      <c r="R12" s="31" t="s">
        <v>45</v>
      </c>
      <c r="S12" s="30" t="s">
        <v>55</v>
      </c>
      <c r="T12" s="30" t="s">
        <v>55</v>
      </c>
      <c r="V12" s="14" t="str">
        <f>"Proposed - "&amp;E19</f>
        <v>Proposed - VSD</v>
      </c>
    </row>
    <row r="13" spans="1:22" ht="13.5" thickTop="1">
      <c r="A13" s="13"/>
      <c r="B13" s="246" t="s">
        <v>177</v>
      </c>
      <c r="C13" s="247"/>
      <c r="D13" s="247"/>
      <c r="E13" s="248"/>
      <c r="F13" s="182">
        <f>'SVP HVAC Fan VSD Savings Calc'!C25</f>
        <v>0</v>
      </c>
      <c r="G13" s="36" t="s">
        <v>0</v>
      </c>
      <c r="H13" s="36"/>
      <c r="I13" s="43"/>
      <c r="J13" s="38"/>
      <c r="K13" s="8"/>
      <c r="L13" s="18">
        <v>0</v>
      </c>
      <c r="M13" s="27">
        <f t="shared" ref="M13:M23" si="0">$F$13*F30</f>
        <v>0</v>
      </c>
      <c r="N13" s="18">
        <f t="shared" ref="N13:N23" si="1">VLOOKUP($L13,Fan_Curves,$J$17,TRUE)/100</f>
        <v>0</v>
      </c>
      <c r="O13" s="16">
        <f t="shared" ref="O13:O23" si="2">N13*IF($F$9="",F$8,F$9)</f>
        <v>0</v>
      </c>
      <c r="P13" s="19">
        <f>O13*M13</f>
        <v>0</v>
      </c>
      <c r="Q13" s="18">
        <f t="shared" ref="Q13:Q23" si="3">VLOOKUP($L13,Fan_Curves,$J$19,TRUE)/100</f>
        <v>0</v>
      </c>
      <c r="R13" s="17">
        <f>Q13*IF($F$9="",$F$8,$F$9)</f>
        <v>0</v>
      </c>
      <c r="S13" s="19">
        <f>R13*M13</f>
        <v>0</v>
      </c>
      <c r="T13" s="19">
        <f>P13-S13</f>
        <v>0</v>
      </c>
    </row>
    <row r="14" spans="1:22" ht="13.5" thickBot="1">
      <c r="A14" s="13"/>
      <c r="B14" s="44"/>
      <c r="C14" s="44"/>
      <c r="D14" s="44"/>
      <c r="E14" s="44"/>
      <c r="F14" s="44"/>
      <c r="G14" s="44"/>
      <c r="H14" s="44"/>
      <c r="I14" s="44"/>
      <c r="J14" s="38"/>
      <c r="K14" s="8"/>
      <c r="L14" s="18">
        <v>0.1</v>
      </c>
      <c r="M14" s="27">
        <f t="shared" si="0"/>
        <v>0</v>
      </c>
      <c r="N14" s="18">
        <f t="shared" si="1"/>
        <v>1</v>
      </c>
      <c r="O14" s="16">
        <f t="shared" si="2"/>
        <v>1.0861090909090908E-3</v>
      </c>
      <c r="P14" s="19">
        <f t="shared" ref="P14:P23" si="4">O14*M14</f>
        <v>0</v>
      </c>
      <c r="Q14" s="18">
        <f t="shared" si="3"/>
        <v>4.7500000000000001E-2</v>
      </c>
      <c r="R14" s="17">
        <f t="shared" ref="R14:R23" si="5">Q14*IF($F$9="",$F$8,$F$9)</f>
        <v>5.1590181818181813E-5</v>
      </c>
      <c r="S14" s="19">
        <f t="shared" ref="S14:S23" si="6">R14*M14</f>
        <v>0</v>
      </c>
      <c r="T14" s="19">
        <f t="shared" ref="T14:T23" si="7">P14-S14</f>
        <v>0</v>
      </c>
    </row>
    <row r="15" spans="1:22" ht="13.5" thickBot="1">
      <c r="A15" s="13"/>
      <c r="B15" s="220" t="s">
        <v>198</v>
      </c>
      <c r="C15" s="221"/>
      <c r="D15" s="221"/>
      <c r="E15" s="221"/>
      <c r="F15" s="221"/>
      <c r="G15" s="221"/>
      <c r="H15" s="221"/>
      <c r="I15" s="221"/>
      <c r="J15" s="222"/>
      <c r="K15" s="8"/>
      <c r="L15" s="18">
        <v>0.2</v>
      </c>
      <c r="M15" s="27">
        <f t="shared" si="0"/>
        <v>0</v>
      </c>
      <c r="N15" s="18">
        <f t="shared" si="1"/>
        <v>1</v>
      </c>
      <c r="O15" s="16">
        <f t="shared" si="2"/>
        <v>1.0861090909090908E-3</v>
      </c>
      <c r="P15" s="19">
        <f t="shared" si="4"/>
        <v>0</v>
      </c>
      <c r="Q15" s="18">
        <f t="shared" si="3"/>
        <v>5.3699999999999998E-2</v>
      </c>
      <c r="R15" s="17">
        <f t="shared" si="5"/>
        <v>5.8324058181818175E-5</v>
      </c>
      <c r="S15" s="19">
        <f t="shared" si="6"/>
        <v>0</v>
      </c>
      <c r="T15" s="19">
        <f t="shared" si="7"/>
        <v>0</v>
      </c>
    </row>
    <row r="16" spans="1:22">
      <c r="A16" s="13"/>
      <c r="B16" s="165"/>
      <c r="C16" s="165"/>
      <c r="D16" s="165"/>
      <c r="E16" s="46"/>
      <c r="F16" s="46"/>
      <c r="G16" s="46"/>
      <c r="H16" s="46"/>
      <c r="I16" s="46"/>
      <c r="J16" s="164" t="s">
        <v>51</v>
      </c>
      <c r="L16" s="18">
        <v>0.3</v>
      </c>
      <c r="M16" s="27">
        <f t="shared" si="0"/>
        <v>0</v>
      </c>
      <c r="N16" s="18">
        <f t="shared" si="1"/>
        <v>1</v>
      </c>
      <c r="O16" s="16">
        <f t="shared" si="2"/>
        <v>1.0861090909090908E-3</v>
      </c>
      <c r="P16" s="19">
        <f t="shared" si="4"/>
        <v>0</v>
      </c>
      <c r="Q16" s="18">
        <f t="shared" si="3"/>
        <v>0.08</v>
      </c>
      <c r="R16" s="17">
        <f t="shared" si="5"/>
        <v>8.6888727272727269E-5</v>
      </c>
      <c r="S16" s="19">
        <f t="shared" si="6"/>
        <v>0</v>
      </c>
      <c r="T16" s="19">
        <f t="shared" si="7"/>
        <v>0</v>
      </c>
    </row>
    <row r="17" spans="1:20">
      <c r="A17" s="13"/>
      <c r="B17" s="48" t="s">
        <v>164</v>
      </c>
      <c r="C17" s="48"/>
      <c r="D17" s="49"/>
      <c r="E17" s="223" t="s">
        <v>30</v>
      </c>
      <c r="F17" s="224"/>
      <c r="G17" s="224"/>
      <c r="H17" s="225"/>
      <c r="I17" s="44"/>
      <c r="J17" s="162">
        <f>VLOOKUP(E17,'Lookup Tables'!$B$3:$C$10,2,FALSE)</f>
        <v>9</v>
      </c>
      <c r="K17" s="10"/>
      <c r="L17" s="18">
        <v>0.4</v>
      </c>
      <c r="M17" s="27">
        <f t="shared" si="0"/>
        <v>0</v>
      </c>
      <c r="N17" s="18">
        <f t="shared" si="1"/>
        <v>1</v>
      </c>
      <c r="O17" s="16">
        <f t="shared" si="2"/>
        <v>1.0861090909090908E-3</v>
      </c>
      <c r="P17" s="19">
        <f t="shared" si="4"/>
        <v>0</v>
      </c>
      <c r="Q17" s="18">
        <f t="shared" si="3"/>
        <v>0.12890000000000001</v>
      </c>
      <c r="R17" s="17">
        <f t="shared" si="5"/>
        <v>1.3999946181818181E-4</v>
      </c>
      <c r="S17" s="19">
        <f t="shared" si="6"/>
        <v>0</v>
      </c>
      <c r="T17" s="19">
        <f t="shared" si="7"/>
        <v>0</v>
      </c>
    </row>
    <row r="18" spans="1:20">
      <c r="A18" s="13"/>
      <c r="B18" s="46"/>
      <c r="C18" s="46"/>
      <c r="D18" s="46"/>
      <c r="E18" s="46"/>
      <c r="F18" s="46"/>
      <c r="G18" s="46"/>
      <c r="H18" s="46"/>
      <c r="I18" s="46"/>
      <c r="J18" s="163"/>
      <c r="K18" s="11"/>
      <c r="L18" s="18">
        <v>0.5</v>
      </c>
      <c r="M18" s="27">
        <f t="shared" si="0"/>
        <v>0</v>
      </c>
      <c r="N18" s="18">
        <f t="shared" si="1"/>
        <v>1</v>
      </c>
      <c r="O18" s="16">
        <f t="shared" si="2"/>
        <v>1.0861090909090908E-3</v>
      </c>
      <c r="P18" s="19">
        <f t="shared" si="4"/>
        <v>0</v>
      </c>
      <c r="Q18" s="18">
        <f t="shared" si="3"/>
        <v>0.20269999999999999</v>
      </c>
      <c r="R18" s="17">
        <f t="shared" si="5"/>
        <v>2.201543127272727E-4</v>
      </c>
      <c r="S18" s="19">
        <f t="shared" si="6"/>
        <v>0</v>
      </c>
      <c r="T18" s="19">
        <f t="shared" si="7"/>
        <v>0</v>
      </c>
    </row>
    <row r="19" spans="1:20">
      <c r="A19" s="13"/>
      <c r="B19" s="47" t="s">
        <v>165</v>
      </c>
      <c r="C19" s="44"/>
      <c r="D19" s="51"/>
      <c r="E19" s="249" t="s">
        <v>13</v>
      </c>
      <c r="F19" s="249"/>
      <c r="G19" s="249"/>
      <c r="H19" s="249"/>
      <c r="I19" s="44"/>
      <c r="J19" s="162">
        <f>VLOOKUP(E19,'Lookup Tables'!$B$3:$C$9,2,FALSE)</f>
        <v>2</v>
      </c>
      <c r="K19" s="10"/>
      <c r="L19" s="18">
        <v>0.6</v>
      </c>
      <c r="M19" s="27">
        <f t="shared" si="0"/>
        <v>0</v>
      </c>
      <c r="N19" s="18">
        <f t="shared" si="1"/>
        <v>1</v>
      </c>
      <c r="O19" s="16">
        <f t="shared" si="2"/>
        <v>1.0861090909090908E-3</v>
      </c>
      <c r="P19" s="19">
        <f t="shared" si="4"/>
        <v>0</v>
      </c>
      <c r="Q19" s="18">
        <f t="shared" si="3"/>
        <v>0.30380000000000001</v>
      </c>
      <c r="R19" s="17">
        <f t="shared" si="5"/>
        <v>3.2995994181818182E-4</v>
      </c>
      <c r="S19" s="19">
        <f t="shared" si="6"/>
        <v>0</v>
      </c>
      <c r="T19" s="19">
        <f t="shared" si="7"/>
        <v>0</v>
      </c>
    </row>
    <row r="20" spans="1:20">
      <c r="B20" s="44"/>
      <c r="C20" s="44"/>
      <c r="D20" s="44"/>
      <c r="E20" s="44"/>
      <c r="F20" s="44"/>
      <c r="G20" s="44"/>
      <c r="H20" s="44"/>
      <c r="I20" s="44"/>
      <c r="J20" s="44"/>
      <c r="K20" s="11"/>
      <c r="L20" s="18">
        <v>0.7</v>
      </c>
      <c r="M20" s="27">
        <f t="shared" si="0"/>
        <v>0</v>
      </c>
      <c r="N20" s="18">
        <f t="shared" si="1"/>
        <v>1</v>
      </c>
      <c r="O20" s="16">
        <f t="shared" si="2"/>
        <v>1.0861090909090908E-3</v>
      </c>
      <c r="P20" s="19">
        <f t="shared" si="4"/>
        <v>0</v>
      </c>
      <c r="Q20" s="18">
        <f t="shared" si="3"/>
        <v>0.43459999999999999</v>
      </c>
      <c r="R20" s="17">
        <f t="shared" si="5"/>
        <v>4.7202301090909087E-4</v>
      </c>
      <c r="S20" s="19">
        <f t="shared" si="6"/>
        <v>0</v>
      </c>
      <c r="T20" s="19">
        <f t="shared" si="7"/>
        <v>0</v>
      </c>
    </row>
    <row r="21" spans="1:20">
      <c r="A21" s="13"/>
      <c r="B21" s="46"/>
      <c r="C21" s="46"/>
      <c r="D21" s="46"/>
      <c r="E21" s="46"/>
      <c r="F21" s="46"/>
      <c r="G21" s="46"/>
      <c r="H21" s="46"/>
      <c r="I21" s="46"/>
      <c r="J21" s="46"/>
      <c r="K21" s="11"/>
      <c r="L21" s="18">
        <v>0.8</v>
      </c>
      <c r="M21" s="27">
        <f t="shared" si="0"/>
        <v>0</v>
      </c>
      <c r="N21" s="18">
        <f t="shared" si="1"/>
        <v>1</v>
      </c>
      <c r="O21" s="16">
        <f t="shared" si="2"/>
        <v>1.0861090909090908E-3</v>
      </c>
      <c r="P21" s="19">
        <f t="shared" si="4"/>
        <v>0</v>
      </c>
      <c r="Q21" s="18">
        <f t="shared" si="3"/>
        <v>0.59750000000000003</v>
      </c>
      <c r="R21" s="17">
        <f t="shared" si="5"/>
        <v>6.4895018181818185E-4</v>
      </c>
      <c r="S21" s="19">
        <f t="shared" si="6"/>
        <v>0</v>
      </c>
      <c r="T21" s="19">
        <f t="shared" si="7"/>
        <v>0</v>
      </c>
    </row>
    <row r="22" spans="1:20">
      <c r="A22" s="13"/>
      <c r="B22" s="46"/>
      <c r="C22" s="46"/>
      <c r="D22" s="46"/>
      <c r="E22" s="46"/>
      <c r="F22" s="46"/>
      <c r="G22" s="46"/>
      <c r="H22" s="46"/>
      <c r="I22" s="46"/>
      <c r="J22" s="46"/>
      <c r="K22" s="12"/>
      <c r="L22" s="18">
        <v>0.9</v>
      </c>
      <c r="M22" s="27">
        <f t="shared" si="0"/>
        <v>0</v>
      </c>
      <c r="N22" s="18">
        <f t="shared" si="1"/>
        <v>1</v>
      </c>
      <c r="O22" s="16">
        <f t="shared" si="2"/>
        <v>1.0861090909090908E-3</v>
      </c>
      <c r="P22" s="19">
        <f t="shared" si="4"/>
        <v>0</v>
      </c>
      <c r="Q22" s="18">
        <f t="shared" si="3"/>
        <v>0.79500000000000004</v>
      </c>
      <c r="R22" s="17">
        <f t="shared" si="5"/>
        <v>8.6345672727272725E-4</v>
      </c>
      <c r="S22" s="19">
        <f t="shared" si="6"/>
        <v>0</v>
      </c>
      <c r="T22" s="19">
        <f t="shared" si="7"/>
        <v>0</v>
      </c>
    </row>
    <row r="23" spans="1:20" ht="15.75" customHeight="1" thickBot="1">
      <c r="A23" s="13"/>
      <c r="B23" s="44"/>
      <c r="C23" s="44"/>
      <c r="D23" s="44"/>
      <c r="E23" s="44"/>
      <c r="F23" s="44"/>
      <c r="G23" s="44"/>
      <c r="H23" s="44"/>
      <c r="I23" s="44"/>
      <c r="J23" s="44"/>
      <c r="L23" s="20">
        <v>1</v>
      </c>
      <c r="M23" s="27">
        <f t="shared" si="0"/>
        <v>0</v>
      </c>
      <c r="N23" s="20">
        <f t="shared" si="1"/>
        <v>1</v>
      </c>
      <c r="O23" s="16">
        <f t="shared" si="2"/>
        <v>1.0861090909090908E-3</v>
      </c>
      <c r="P23" s="21">
        <f t="shared" si="4"/>
        <v>0</v>
      </c>
      <c r="Q23" s="20">
        <f t="shared" si="3"/>
        <v>1.0293000000000001</v>
      </c>
      <c r="R23" s="17">
        <f t="shared" si="5"/>
        <v>1.1179320872727273E-3</v>
      </c>
      <c r="S23" s="21">
        <f t="shared" si="6"/>
        <v>0</v>
      </c>
      <c r="T23" s="21">
        <f t="shared" si="7"/>
        <v>0</v>
      </c>
    </row>
    <row r="24" spans="1:20" ht="15.75" customHeight="1" thickBot="1">
      <c r="A24" s="13"/>
      <c r="B24" s="230" t="s">
        <v>27</v>
      </c>
      <c r="C24" s="231"/>
      <c r="D24" s="231"/>
      <c r="E24" s="231"/>
      <c r="F24" s="231"/>
      <c r="G24" s="231"/>
      <c r="H24" s="231"/>
      <c r="I24" s="231"/>
      <c r="J24" s="232"/>
      <c r="L24" s="22" t="s">
        <v>29</v>
      </c>
      <c r="M24" s="23">
        <f>SUM(M13:M23)</f>
        <v>0</v>
      </c>
      <c r="N24" s="24"/>
      <c r="O24" s="24"/>
      <c r="P24" s="25">
        <f>SUM(P13:P23)</f>
        <v>0</v>
      </c>
      <c r="Q24" s="23"/>
      <c r="R24" s="25"/>
      <c r="S24" s="25">
        <f>SUM(S13:S23)</f>
        <v>0</v>
      </c>
      <c r="T24" s="26">
        <f>SUM(T13:T23)</f>
        <v>0</v>
      </c>
    </row>
    <row r="25" spans="1:20" ht="13.5" customHeight="1">
      <c r="A25" s="13"/>
      <c r="B25" s="44" t="s">
        <v>178</v>
      </c>
      <c r="C25" s="44"/>
      <c r="D25" s="44"/>
      <c r="E25" s="44"/>
      <c r="F25" s="166" t="s">
        <v>51</v>
      </c>
      <c r="G25" s="167"/>
      <c r="H25" s="167"/>
      <c r="I25" s="44"/>
      <c r="J25" s="44"/>
    </row>
    <row r="26" spans="1:20">
      <c r="B26" s="236" t="str">
        <f>IF('SVP HVAC Fan VSD Savings Calc'!B47="Yes","Custom or metered","HVAC fan")</f>
        <v>HVAC fan</v>
      </c>
      <c r="C26" s="237"/>
      <c r="D26" s="238"/>
      <c r="E26" s="44"/>
      <c r="F26" s="168">
        <f>VLOOKUP(B26,'Lookup Tables'!$H$3:$I$7,2,FALSE)</f>
        <v>2</v>
      </c>
      <c r="G26" s="167"/>
      <c r="H26" s="167"/>
      <c r="I26" s="44"/>
      <c r="J26" s="44"/>
    </row>
    <row r="27" spans="1:20">
      <c r="B27" s="44"/>
      <c r="C27" s="44"/>
      <c r="D27" s="44"/>
      <c r="E27" s="44"/>
      <c r="F27" s="44"/>
      <c r="G27" s="44"/>
      <c r="H27" s="44"/>
      <c r="I27" s="44"/>
      <c r="J27" s="44"/>
    </row>
    <row r="28" spans="1:20" ht="15.75" customHeight="1">
      <c r="B28" s="44" t="str">
        <f>B26</f>
        <v>HVAC fan</v>
      </c>
      <c r="C28" s="44"/>
      <c r="D28" s="59" t="s">
        <v>69</v>
      </c>
      <c r="E28" s="44"/>
      <c r="F28" s="44"/>
      <c r="G28" s="44"/>
      <c r="H28" s="44"/>
      <c r="I28" s="44"/>
      <c r="J28" s="44"/>
    </row>
    <row r="29" spans="1:20" ht="38.25">
      <c r="B29" s="53" t="s">
        <v>36</v>
      </c>
      <c r="C29" s="54" t="s">
        <v>70</v>
      </c>
      <c r="D29" s="60" t="s">
        <v>70</v>
      </c>
      <c r="E29" s="44"/>
      <c r="F29" s="44" t="s">
        <v>71</v>
      </c>
      <c r="G29" s="44"/>
      <c r="H29" s="44"/>
      <c r="I29" s="44"/>
      <c r="J29" s="44"/>
    </row>
    <row r="30" spans="1:20">
      <c r="B30" s="63">
        <v>0</v>
      </c>
      <c r="C30" s="61">
        <f>VLOOKUP(B30,'VFD Load Curves'!$B$4:$G$14,$F$26,FALSE)</f>
        <v>0</v>
      </c>
      <c r="D30" s="141">
        <f>'SVP HVAC Fan VSD Savings Calc'!C49</f>
        <v>0</v>
      </c>
      <c r="E30" s="44"/>
      <c r="F30" s="61">
        <f>IF($F$26=6,D30,C30)</f>
        <v>0</v>
      </c>
      <c r="G30" s="44"/>
      <c r="H30" s="44"/>
      <c r="I30" s="44"/>
      <c r="J30" s="44"/>
    </row>
    <row r="31" spans="1:20">
      <c r="B31" s="63">
        <v>0.1</v>
      </c>
      <c r="C31" s="61">
        <f>VLOOKUP(B31,'VFD Load Curves'!$B$4:$G$14,$F$26,FALSE)</f>
        <v>0</v>
      </c>
      <c r="D31" s="141">
        <f>'SVP HVAC Fan VSD Savings Calc'!C50</f>
        <v>0</v>
      </c>
      <c r="E31" s="44"/>
      <c r="F31" s="61">
        <f t="shared" ref="F31:F40" si="8">IF($F$26=6,D31,C31)</f>
        <v>0</v>
      </c>
      <c r="G31" s="44"/>
      <c r="H31" s="44"/>
      <c r="I31" s="44"/>
      <c r="J31" s="44"/>
    </row>
    <row r="32" spans="1:20">
      <c r="B32" s="63">
        <v>0.2</v>
      </c>
      <c r="C32" s="61">
        <f>VLOOKUP(B32,'VFD Load Curves'!$B$4:$G$14,$F$26,FALSE)</f>
        <v>0</v>
      </c>
      <c r="D32" s="141">
        <f>'SVP HVAC Fan VSD Savings Calc'!C51</f>
        <v>0</v>
      </c>
      <c r="E32" s="44"/>
      <c r="F32" s="61">
        <f t="shared" si="8"/>
        <v>0</v>
      </c>
      <c r="G32" s="44"/>
      <c r="H32" s="44"/>
      <c r="I32" s="44"/>
      <c r="J32" s="44"/>
    </row>
    <row r="33" spans="2:10">
      <c r="B33" s="63">
        <v>0.3</v>
      </c>
      <c r="C33" s="61">
        <f>VLOOKUP(B33,'VFD Load Curves'!$B$4:$G$14,$F$26,FALSE)</f>
        <v>0</v>
      </c>
      <c r="D33" s="141">
        <f>'SVP HVAC Fan VSD Savings Calc'!C52</f>
        <v>0.05</v>
      </c>
      <c r="E33" s="44"/>
      <c r="F33" s="61">
        <f t="shared" si="8"/>
        <v>0</v>
      </c>
      <c r="G33" s="44"/>
      <c r="H33" s="44"/>
      <c r="I33" s="44"/>
      <c r="J33" s="44"/>
    </row>
    <row r="34" spans="2:10">
      <c r="B34" s="63">
        <v>0.4</v>
      </c>
      <c r="C34" s="61">
        <f>VLOOKUP(B34,'VFD Load Curves'!$B$4:$G$14,$F$26,FALSE)</f>
        <v>0</v>
      </c>
      <c r="D34" s="141">
        <f>'SVP HVAC Fan VSD Savings Calc'!C53</f>
        <v>0.05</v>
      </c>
      <c r="E34" s="44"/>
      <c r="F34" s="61">
        <f t="shared" si="8"/>
        <v>0</v>
      </c>
      <c r="G34" s="44"/>
      <c r="H34" s="44"/>
      <c r="I34" s="44"/>
      <c r="J34" s="44"/>
    </row>
    <row r="35" spans="2:10">
      <c r="B35" s="63">
        <v>0.5</v>
      </c>
      <c r="C35" s="61">
        <f>VLOOKUP(B35,'VFD Load Curves'!$B$4:$G$14,$F$26,FALSE)</f>
        <v>0.1</v>
      </c>
      <c r="D35" s="141">
        <f>'SVP HVAC Fan VSD Savings Calc'!C54</f>
        <v>0.05</v>
      </c>
      <c r="E35" s="44"/>
      <c r="F35" s="61">
        <f t="shared" si="8"/>
        <v>0.1</v>
      </c>
      <c r="G35" s="44"/>
      <c r="H35" s="44"/>
      <c r="I35" s="44"/>
      <c r="J35" s="44"/>
    </row>
    <row r="36" spans="2:10">
      <c r="B36" s="63">
        <v>0.6</v>
      </c>
      <c r="C36" s="61">
        <f>VLOOKUP(B36,'VFD Load Curves'!$B$4:$G$14,$F$26,FALSE)</f>
        <v>0.2</v>
      </c>
      <c r="D36" s="141">
        <f>'SVP HVAC Fan VSD Savings Calc'!C55</f>
        <v>0.1</v>
      </c>
      <c r="E36" s="44"/>
      <c r="F36" s="61">
        <f t="shared" si="8"/>
        <v>0.2</v>
      </c>
      <c r="G36" s="44"/>
      <c r="H36" s="44"/>
      <c r="I36" s="44"/>
      <c r="J36" s="44"/>
    </row>
    <row r="37" spans="2:10">
      <c r="B37" s="63">
        <v>0.7</v>
      </c>
      <c r="C37" s="61">
        <f>VLOOKUP(B37,'VFD Load Curves'!$B$4:$G$14,$F$26,FALSE)</f>
        <v>0.3</v>
      </c>
      <c r="D37" s="141">
        <f>'SVP HVAC Fan VSD Savings Calc'!C56</f>
        <v>0.2</v>
      </c>
      <c r="E37" s="44"/>
      <c r="F37" s="61">
        <f t="shared" si="8"/>
        <v>0.3</v>
      </c>
      <c r="G37" s="44"/>
      <c r="H37" s="44"/>
      <c r="I37" s="44"/>
      <c r="J37" s="44"/>
    </row>
    <row r="38" spans="2:10">
      <c r="B38" s="63">
        <v>0.8</v>
      </c>
      <c r="C38" s="61">
        <f>VLOOKUP(B38,'VFD Load Curves'!$B$4:$G$14,$F$26,FALSE)</f>
        <v>0.2</v>
      </c>
      <c r="D38" s="141">
        <f>'SVP HVAC Fan VSD Savings Calc'!C57</f>
        <v>0.45</v>
      </c>
      <c r="E38" s="44"/>
      <c r="F38" s="61">
        <f t="shared" si="8"/>
        <v>0.2</v>
      </c>
      <c r="G38" s="44"/>
      <c r="H38" s="44"/>
      <c r="I38" s="44"/>
      <c r="J38" s="44"/>
    </row>
    <row r="39" spans="2:10">
      <c r="B39" s="63">
        <v>0.9</v>
      </c>
      <c r="C39" s="61">
        <f>VLOOKUP(B39,'VFD Load Curves'!$B$4:$G$14,$F$26,FALSE)</f>
        <v>0.15</v>
      </c>
      <c r="D39" s="141">
        <f>'SVP HVAC Fan VSD Savings Calc'!C58</f>
        <v>0.05</v>
      </c>
      <c r="E39" s="44"/>
      <c r="F39" s="61">
        <f t="shared" si="8"/>
        <v>0.15</v>
      </c>
      <c r="G39" s="44"/>
      <c r="H39" s="44"/>
      <c r="I39" s="44"/>
      <c r="J39" s="44"/>
    </row>
    <row r="40" spans="2:10">
      <c r="B40" s="63">
        <v>1</v>
      </c>
      <c r="C40" s="61">
        <f>VLOOKUP(B40,'VFD Load Curves'!$B$4:$G$14,$F$26,FALSE)</f>
        <v>0.05</v>
      </c>
      <c r="D40" s="141">
        <f>'SVP HVAC Fan VSD Savings Calc'!C59</f>
        <v>0.05</v>
      </c>
      <c r="E40" s="44"/>
      <c r="F40" s="61">
        <f t="shared" si="8"/>
        <v>0.05</v>
      </c>
      <c r="G40" s="44"/>
      <c r="H40" s="44"/>
      <c r="I40" s="44"/>
      <c r="J40" s="44"/>
    </row>
    <row r="41" spans="2:10">
      <c r="B41" s="62" t="s">
        <v>29</v>
      </c>
      <c r="C41" s="64">
        <f>SUM(C30:C40)</f>
        <v>1</v>
      </c>
      <c r="D41" s="65">
        <f>SUM(D30:D40)</f>
        <v>1</v>
      </c>
      <c r="E41" s="44"/>
      <c r="F41" s="44"/>
      <c r="G41" s="44"/>
      <c r="H41" s="44"/>
      <c r="I41" s="44"/>
      <c r="J41" s="44"/>
    </row>
    <row r="43" spans="2:10" ht="17.25" hidden="1" customHeight="1"/>
    <row r="44" spans="2:10" hidden="1"/>
    <row r="45" spans="2:10" hidden="1">
      <c r="B45" s="72" t="s">
        <v>79</v>
      </c>
      <c r="C45" s="68"/>
      <c r="D45" s="68"/>
      <c r="E45" s="68"/>
      <c r="F45" s="68"/>
      <c r="G45" s="68"/>
    </row>
    <row r="46" spans="2:10" hidden="1">
      <c r="B46" s="69" t="s">
        <v>45</v>
      </c>
      <c r="C46" s="90" t="s">
        <v>76</v>
      </c>
      <c r="D46" s="90" t="s">
        <v>77</v>
      </c>
      <c r="E46" s="90" t="s">
        <v>83</v>
      </c>
      <c r="F46" s="91" t="s">
        <v>78</v>
      </c>
      <c r="G46" s="68"/>
    </row>
    <row r="47" spans="2:10" hidden="1">
      <c r="B47" s="75">
        <f>C47*D47*F47*E47^0.5/1000</f>
        <v>5.7365522746681208</v>
      </c>
      <c r="C47" s="142">
        <v>8</v>
      </c>
      <c r="D47" s="143">
        <v>460</v>
      </c>
      <c r="E47" s="143">
        <v>3</v>
      </c>
      <c r="F47" s="144">
        <v>0.9</v>
      </c>
      <c r="G47" s="68"/>
    </row>
    <row r="48" spans="2:10" ht="14.25" hidden="1">
      <c r="B48" s="72" t="s">
        <v>80</v>
      </c>
      <c r="C48" s="73"/>
      <c r="D48" s="73"/>
      <c r="E48" s="73"/>
      <c r="F48" s="73"/>
      <c r="G48" s="73"/>
    </row>
    <row r="49" spans="2:8" hidden="1">
      <c r="B49" s="69" t="s">
        <v>45</v>
      </c>
      <c r="C49" s="74" t="s">
        <v>81</v>
      </c>
      <c r="D49" s="74" t="s">
        <v>77</v>
      </c>
      <c r="E49" s="74" t="s">
        <v>83</v>
      </c>
      <c r="F49" s="74" t="s">
        <v>78</v>
      </c>
      <c r="G49" s="226" t="s">
        <v>82</v>
      </c>
      <c r="H49" s="227"/>
    </row>
    <row r="50" spans="2:8" hidden="1">
      <c r="B50" s="76">
        <f>G50*C50*D50*F50*E50^0.5/1000</f>
        <v>5.7365522746681208</v>
      </c>
      <c r="C50" s="145">
        <v>10</v>
      </c>
      <c r="D50" s="146">
        <v>460</v>
      </c>
      <c r="E50" s="146">
        <v>3</v>
      </c>
      <c r="F50" s="147">
        <v>0.9</v>
      </c>
      <c r="G50" s="228">
        <v>0.8</v>
      </c>
      <c r="H50" s="229"/>
    </row>
    <row r="51" spans="2:8" hidden="1"/>
    <row r="52" spans="2:8">
      <c r="B52" s="97"/>
    </row>
    <row r="53" spans="2:8">
      <c r="B53" s="154" t="s">
        <v>158</v>
      </c>
      <c r="C53" s="155"/>
      <c r="D53" s="156"/>
      <c r="F53" s="199" t="s">
        <v>207</v>
      </c>
    </row>
    <row r="54" spans="2:8">
      <c r="B54" s="131"/>
      <c r="C54" s="218" t="s">
        <v>85</v>
      </c>
      <c r="D54" s="219"/>
      <c r="E54" s="197" t="s">
        <v>86</v>
      </c>
      <c r="F54" s="198">
        <v>0.15</v>
      </c>
    </row>
    <row r="55" spans="2:8">
      <c r="B55" s="136" t="s">
        <v>87</v>
      </c>
      <c r="C55" s="137" t="s">
        <v>88</v>
      </c>
      <c r="D55" s="137" t="s">
        <v>89</v>
      </c>
      <c r="E55" s="157" t="s">
        <v>88</v>
      </c>
      <c r="F55" s="157" t="s">
        <v>89</v>
      </c>
    </row>
    <row r="56" spans="2:8">
      <c r="B56" s="132">
        <v>1E-3</v>
      </c>
      <c r="C56" s="77">
        <v>0.5</v>
      </c>
      <c r="D56" s="78">
        <v>0.55000000000000004</v>
      </c>
      <c r="E56" s="158">
        <v>0.5</v>
      </c>
      <c r="F56" s="158">
        <v>0.55000000000000004</v>
      </c>
    </row>
    <row r="57" spans="2:8">
      <c r="B57" s="132">
        <v>0.25</v>
      </c>
      <c r="C57" s="77">
        <v>0.627</v>
      </c>
      <c r="D57" s="78">
        <v>0.67500000000000004</v>
      </c>
      <c r="E57" s="158">
        <v>0.53332850507625384</v>
      </c>
      <c r="F57" s="158">
        <v>0.57797007624189589</v>
      </c>
    </row>
    <row r="58" spans="2:8">
      <c r="B58" s="132">
        <v>0.33</v>
      </c>
      <c r="C58" s="77">
        <v>0.66</v>
      </c>
      <c r="D58" s="78">
        <v>0.68799999999999994</v>
      </c>
      <c r="E58" s="158">
        <v>0.62420768234124757</v>
      </c>
      <c r="F58" s="158">
        <v>0.64157558712399831</v>
      </c>
    </row>
    <row r="59" spans="2:8">
      <c r="B59" s="132">
        <v>0.5</v>
      </c>
      <c r="C59" s="77">
        <v>0.69</v>
      </c>
      <c r="D59" s="78">
        <v>0.73899999999999999</v>
      </c>
      <c r="E59" s="158">
        <v>0.61680601021862413</v>
      </c>
      <c r="F59" s="158">
        <v>0.63349900102291712</v>
      </c>
    </row>
    <row r="60" spans="2:8">
      <c r="B60" s="132">
        <v>0.75</v>
      </c>
      <c r="C60" s="77">
        <v>0.76</v>
      </c>
      <c r="D60" s="78">
        <v>0.78500000000000003</v>
      </c>
      <c r="E60" s="158">
        <v>0.65999402503186411</v>
      </c>
      <c r="F60" s="158">
        <v>0.74547095821008869</v>
      </c>
    </row>
    <row r="61" spans="2:8">
      <c r="B61" s="133">
        <v>1</v>
      </c>
      <c r="C61" s="77">
        <v>0.82042413227830879</v>
      </c>
      <c r="D61" s="78">
        <v>0.84591019346097607</v>
      </c>
      <c r="E61" s="158">
        <v>0.72499999999999998</v>
      </c>
      <c r="F61" s="158">
        <v>0.76500000000000001</v>
      </c>
    </row>
    <row r="62" spans="2:8">
      <c r="B62" s="133">
        <v>1.5</v>
      </c>
      <c r="C62" s="77">
        <v>0.83667194483149443</v>
      </c>
      <c r="D62" s="78">
        <v>0.85829877901179863</v>
      </c>
      <c r="E62" s="158">
        <v>0.72899999999999998</v>
      </c>
      <c r="F62" s="158">
        <v>0.77200000000000002</v>
      </c>
    </row>
    <row r="63" spans="2:8">
      <c r="B63" s="133">
        <v>2</v>
      </c>
      <c r="C63" s="77">
        <v>0.8372532323837617</v>
      </c>
      <c r="D63" s="78">
        <v>0.85981896233915533</v>
      </c>
      <c r="E63" s="158">
        <v>0.76900000000000002</v>
      </c>
      <c r="F63" s="158">
        <v>0.78800000000000003</v>
      </c>
    </row>
    <row r="64" spans="2:8">
      <c r="B64" s="133">
        <v>3</v>
      </c>
      <c r="C64" s="77">
        <v>0.86115007250013875</v>
      </c>
      <c r="D64" s="78">
        <v>0.8853931654006012</v>
      </c>
      <c r="E64" s="158">
        <v>0.78100000000000003</v>
      </c>
      <c r="F64" s="158">
        <v>0.8</v>
      </c>
    </row>
    <row r="65" spans="2:6">
      <c r="B65" s="133">
        <v>5</v>
      </c>
      <c r="C65" s="77">
        <v>0.8680851378549671</v>
      </c>
      <c r="D65" s="78">
        <v>0.88471746347170943</v>
      </c>
      <c r="E65" s="158">
        <v>0.82199999999999995</v>
      </c>
      <c r="F65" s="158">
        <v>0.83199999999999996</v>
      </c>
    </row>
    <row r="66" spans="2:6">
      <c r="B66" s="133">
        <v>7.5</v>
      </c>
      <c r="C66" s="77">
        <v>0.8816308516972835</v>
      </c>
      <c r="D66" s="78">
        <v>0.90076424192023319</v>
      </c>
      <c r="E66" s="158">
        <v>0.83099999999999996</v>
      </c>
      <c r="F66" s="158">
        <v>0.83399999999999996</v>
      </c>
    </row>
    <row r="67" spans="2:6">
      <c r="B67" s="134">
        <v>10</v>
      </c>
      <c r="C67" s="77">
        <v>0.89249322588947988</v>
      </c>
      <c r="D67" s="78">
        <v>0.90578215371458703</v>
      </c>
      <c r="E67" s="158">
        <v>0.84</v>
      </c>
      <c r="F67" s="158">
        <v>0.85199999999999998</v>
      </c>
    </row>
    <row r="68" spans="2:6">
      <c r="B68" s="134">
        <v>15</v>
      </c>
      <c r="C68" s="77">
        <v>0.90017018131387261</v>
      </c>
      <c r="D68" s="78">
        <v>0.91365594735253164</v>
      </c>
      <c r="E68" s="158">
        <v>0.84699999999999998</v>
      </c>
      <c r="F68" s="158">
        <v>0.84699999999999998</v>
      </c>
    </row>
    <row r="69" spans="2:6">
      <c r="B69" s="134">
        <v>20</v>
      </c>
      <c r="C69" s="77">
        <v>0.90131642383161503</v>
      </c>
      <c r="D69" s="78">
        <v>0.91703855876708618</v>
      </c>
      <c r="E69" s="158">
        <v>0.86</v>
      </c>
      <c r="F69" s="158">
        <v>0.85499999999999998</v>
      </c>
    </row>
    <row r="70" spans="2:6">
      <c r="B70" s="134">
        <v>25</v>
      </c>
      <c r="C70" s="77">
        <v>0.91731808257644887</v>
      </c>
      <c r="D70" s="78">
        <v>0.92572618695936282</v>
      </c>
      <c r="E70" s="158">
        <v>0.85899999999999999</v>
      </c>
      <c r="F70" s="158">
        <v>0.85799999999999998</v>
      </c>
    </row>
    <row r="71" spans="2:6">
      <c r="B71" s="134">
        <v>30</v>
      </c>
      <c r="C71" s="77">
        <v>0.91554547095743088</v>
      </c>
      <c r="D71" s="78">
        <v>0.92568686127292876</v>
      </c>
      <c r="E71" s="158">
        <v>0.872</v>
      </c>
      <c r="F71" s="158">
        <v>0.86399999999999999</v>
      </c>
    </row>
    <row r="72" spans="2:6">
      <c r="B72" s="134">
        <v>40</v>
      </c>
      <c r="C72" s="77">
        <v>0.91859690442529385</v>
      </c>
      <c r="D72" s="78">
        <v>0.93038427202472329</v>
      </c>
      <c r="E72" s="158">
        <v>0.86</v>
      </c>
      <c r="F72" s="158">
        <v>0.85599999999999998</v>
      </c>
    </row>
    <row r="73" spans="2:6">
      <c r="B73" s="134">
        <v>50</v>
      </c>
      <c r="C73" s="77">
        <v>0.9186797087264843</v>
      </c>
      <c r="D73" s="78">
        <v>0.93007282042103312</v>
      </c>
      <c r="E73" s="158">
        <v>0.85599999999999998</v>
      </c>
      <c r="F73" s="158">
        <v>0.85899999999999999</v>
      </c>
    </row>
    <row r="74" spans="2:6">
      <c r="B74" s="134">
        <v>60</v>
      </c>
      <c r="C74" s="77">
        <v>0.92795964914940365</v>
      </c>
      <c r="D74" s="78">
        <v>0.93483864259270189</v>
      </c>
      <c r="E74" s="158">
        <v>0.873</v>
      </c>
      <c r="F74" s="158">
        <v>0.85799999999999998</v>
      </c>
    </row>
    <row r="75" spans="2:6">
      <c r="B75" s="134">
        <v>75</v>
      </c>
      <c r="C75" s="77">
        <v>0.93010162223624082</v>
      </c>
      <c r="D75" s="78">
        <v>0.935002111035099</v>
      </c>
      <c r="E75" s="158">
        <v>0.877</v>
      </c>
      <c r="F75" s="158">
        <v>0.86799999999999999</v>
      </c>
    </row>
    <row r="76" spans="2:6">
      <c r="B76" s="134">
        <v>100</v>
      </c>
      <c r="C76" s="77">
        <v>0.931870766520981</v>
      </c>
      <c r="D76" s="78">
        <v>0.93774799194289571</v>
      </c>
      <c r="E76" s="158">
        <v>0.878</v>
      </c>
      <c r="F76" s="158">
        <v>0.86299999999999999</v>
      </c>
    </row>
    <row r="77" spans="2:6">
      <c r="B77" s="134">
        <v>125</v>
      </c>
      <c r="C77" s="77">
        <v>0.93103475436004446</v>
      </c>
      <c r="D77" s="78">
        <v>0.93878234893075074</v>
      </c>
      <c r="E77" s="158">
        <v>0.88600000000000001</v>
      </c>
      <c r="F77" s="158">
        <v>0.86799999999999999</v>
      </c>
    </row>
    <row r="78" spans="2:6">
      <c r="B78" s="134">
        <v>150</v>
      </c>
      <c r="C78" s="77">
        <v>0.93468828977681218</v>
      </c>
      <c r="D78" s="78">
        <v>0.94238067041956486</v>
      </c>
      <c r="E78" s="158">
        <v>0.88800000000000001</v>
      </c>
      <c r="F78" s="158">
        <v>0.86899999999999999</v>
      </c>
    </row>
    <row r="79" spans="2:6">
      <c r="B79" s="134">
        <v>200</v>
      </c>
      <c r="C79" s="77">
        <v>0.93607885220014109</v>
      </c>
      <c r="D79" s="78">
        <v>0.9439741469887627</v>
      </c>
      <c r="E79" s="158">
        <v>0.88300000000000001</v>
      </c>
      <c r="F79" s="158">
        <v>0.86699999999999999</v>
      </c>
    </row>
    <row r="80" spans="2:6">
      <c r="B80" s="134">
        <v>300</v>
      </c>
      <c r="C80" s="77">
        <v>0.95299999999999996</v>
      </c>
      <c r="D80" s="78">
        <v>0.95799999999999996</v>
      </c>
      <c r="E80" s="158">
        <v>0.90400000000000003</v>
      </c>
      <c r="F80" s="158">
        <v>0.86799999999999999</v>
      </c>
    </row>
    <row r="81" spans="2:6">
      <c r="B81" s="134">
        <v>350</v>
      </c>
      <c r="C81" s="77">
        <v>0.95399999999999996</v>
      </c>
      <c r="D81" s="78">
        <v>0.95899999999999996</v>
      </c>
      <c r="E81" s="158">
        <v>0.89300000000000002</v>
      </c>
      <c r="F81" s="158">
        <v>0.88800000000000001</v>
      </c>
    </row>
    <row r="82" spans="2:6">
      <c r="B82" s="134">
        <v>400</v>
      </c>
      <c r="C82" s="77">
        <v>0.95299999999999996</v>
      </c>
      <c r="D82" s="78">
        <v>0.95599999999999996</v>
      </c>
      <c r="E82" s="158">
        <v>0.89400000000000002</v>
      </c>
      <c r="F82" s="158">
        <v>0.86899999999999999</v>
      </c>
    </row>
    <row r="83" spans="2:6">
      <c r="B83" s="134">
        <v>450</v>
      </c>
      <c r="C83" s="77">
        <v>0.95</v>
      </c>
      <c r="D83" s="78">
        <v>0.95</v>
      </c>
      <c r="E83" s="158">
        <v>0.9</v>
      </c>
      <c r="F83" s="158">
        <v>0.9</v>
      </c>
    </row>
    <row r="84" spans="2:6">
      <c r="B84" s="134">
        <v>500</v>
      </c>
      <c r="C84" s="77">
        <v>0.95199999999999996</v>
      </c>
      <c r="D84" s="78">
        <v>0.95199999999999996</v>
      </c>
      <c r="E84" s="158">
        <v>0.90500000000000003</v>
      </c>
      <c r="F84" s="158">
        <v>0.90500000000000003</v>
      </c>
    </row>
    <row r="85" spans="2:6">
      <c r="B85" s="135">
        <v>9999</v>
      </c>
      <c r="C85" s="77">
        <v>0.95199999999999996</v>
      </c>
      <c r="D85" s="78">
        <v>0.95199999999999996</v>
      </c>
      <c r="E85" s="158">
        <v>0.90500000000000003</v>
      </c>
      <c r="F85" s="158">
        <v>0.90500000000000003</v>
      </c>
    </row>
  </sheetData>
  <sheetProtection selectLockedCells="1"/>
  <mergeCells count="21">
    <mergeCell ref="L3:T3"/>
    <mergeCell ref="B26:D26"/>
    <mergeCell ref="H9:J10"/>
    <mergeCell ref="L11:M11"/>
    <mergeCell ref="N11:P11"/>
    <mergeCell ref="Q11:S11"/>
    <mergeCell ref="B3:J3"/>
    <mergeCell ref="B9:E9"/>
    <mergeCell ref="B13:E13"/>
    <mergeCell ref="E19:H19"/>
    <mergeCell ref="B5:E5"/>
    <mergeCell ref="B6:E6"/>
    <mergeCell ref="B7:E7"/>
    <mergeCell ref="B8:E8"/>
    <mergeCell ref="B11:J11"/>
    <mergeCell ref="C54:D54"/>
    <mergeCell ref="B15:J15"/>
    <mergeCell ref="E17:H17"/>
    <mergeCell ref="G49:H49"/>
    <mergeCell ref="G50:H50"/>
    <mergeCell ref="B24:J24"/>
  </mergeCells>
  <conditionalFormatting sqref="L13:T23">
    <cfRule type="expression" dxfId="37" priority="10">
      <formula>MOD(ROW(),2)</formula>
    </cfRule>
  </conditionalFormatting>
  <conditionalFormatting sqref="C30:C40">
    <cfRule type="expression" dxfId="36" priority="9">
      <formula>$F$26=6</formula>
    </cfRule>
  </conditionalFormatting>
  <conditionalFormatting sqref="C41">
    <cfRule type="expression" dxfId="35" priority="8">
      <formula>$F$26=6</formula>
    </cfRule>
  </conditionalFormatting>
  <conditionalFormatting sqref="D30:D40">
    <cfRule type="expression" dxfId="34" priority="7">
      <formula>$F$26=6</formula>
    </cfRule>
  </conditionalFormatting>
  <conditionalFormatting sqref="D41">
    <cfRule type="cellIs" dxfId="33" priority="2" operator="lessThan">
      <formula>1</formula>
    </cfRule>
    <cfRule type="expression" dxfId="32" priority="6">
      <formula>$F$26=6</formula>
    </cfRule>
  </conditionalFormatting>
  <conditionalFormatting sqref="D29">
    <cfRule type="expression" dxfId="31" priority="5">
      <formula>$F$26=6</formula>
    </cfRule>
  </conditionalFormatting>
  <conditionalFormatting sqref="C29">
    <cfRule type="expression" dxfId="30" priority="4">
      <formula>$F$26=6</formula>
    </cfRule>
  </conditionalFormatting>
  <conditionalFormatting sqref="D30:D41">
    <cfRule type="expression" dxfId="29" priority="1">
      <formula>$D$41&lt;&gt;1</formula>
    </cfRule>
  </conditionalFormatting>
  <pageMargins left="0.7" right="0.7" top="0.75" bottom="0.75" header="0.3" footer="0.3"/>
  <pageSetup scale="85"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sheetPr>
  <dimension ref="A1:V84"/>
  <sheetViews>
    <sheetView topLeftCell="A4" zoomScaleNormal="100" workbookViewId="0">
      <selection activeCell="F4" sqref="F4"/>
    </sheetView>
  </sheetViews>
  <sheetFormatPr defaultRowHeight="12.75"/>
  <cols>
    <col min="1" max="1" width="3" style="14" customWidth="1"/>
    <col min="2" max="2" width="11.28515625" style="14" customWidth="1"/>
    <col min="3" max="3" width="11" style="14" customWidth="1"/>
    <col min="4" max="4" width="8.7109375" style="14" customWidth="1"/>
    <col min="5" max="5" width="7.42578125" style="14" customWidth="1"/>
    <col min="6" max="6" width="11.5703125" style="14" customWidth="1"/>
    <col min="7" max="7" width="3.5703125" style="14" customWidth="1"/>
    <col min="8" max="8" width="10.85546875" style="14" customWidth="1"/>
    <col min="9" max="9" width="5.42578125" style="14" customWidth="1"/>
    <col min="10" max="10" width="22" style="14" customWidth="1"/>
    <col min="11" max="11" width="5.42578125" style="14" customWidth="1"/>
    <col min="12" max="12" width="15.7109375" style="14" customWidth="1"/>
    <col min="13" max="13" width="12" style="14" customWidth="1"/>
    <col min="14" max="14" width="15" style="14" customWidth="1"/>
    <col min="15" max="15" width="9.28515625" style="14" customWidth="1"/>
    <col min="16" max="16" width="10" style="14" customWidth="1"/>
    <col min="17" max="17" width="15" style="14" customWidth="1"/>
    <col min="18" max="18" width="8.28515625" style="14" customWidth="1"/>
    <col min="19" max="19" width="9.5703125" style="14" customWidth="1"/>
    <col min="20" max="16384" width="9.140625" style="14"/>
  </cols>
  <sheetData>
    <row r="1" spans="1:22" ht="13.5" thickBot="1"/>
    <row r="2" spans="1:22" ht="13.5" thickBot="1">
      <c r="A2" s="13"/>
      <c r="B2" s="220" t="s">
        <v>95</v>
      </c>
      <c r="C2" s="221"/>
      <c r="D2" s="221"/>
      <c r="E2" s="221"/>
      <c r="F2" s="221"/>
      <c r="G2" s="221"/>
      <c r="H2" s="221"/>
      <c r="I2" s="221"/>
      <c r="J2" s="222"/>
      <c r="K2" s="7"/>
      <c r="L2" s="250" t="s">
        <v>54</v>
      </c>
      <c r="M2" s="251"/>
      <c r="N2" s="251"/>
      <c r="O2" s="251"/>
      <c r="P2" s="251"/>
      <c r="Q2" s="251"/>
      <c r="R2" s="251"/>
      <c r="S2" s="251"/>
      <c r="T2" s="252"/>
    </row>
    <row r="3" spans="1:22">
      <c r="A3" s="13"/>
      <c r="B3" s="34"/>
      <c r="C3" s="34"/>
      <c r="D3" s="34"/>
      <c r="E3" s="34"/>
      <c r="F3" s="34"/>
      <c r="G3" s="34"/>
      <c r="H3" s="34"/>
      <c r="I3" s="34"/>
      <c r="J3" s="34"/>
      <c r="K3" s="7"/>
      <c r="L3" s="7"/>
      <c r="M3" s="7"/>
      <c r="N3" s="7"/>
      <c r="O3" s="7"/>
      <c r="P3" s="7"/>
      <c r="Q3" s="7"/>
      <c r="R3" s="7"/>
      <c r="S3" s="7"/>
      <c r="T3" s="7"/>
    </row>
    <row r="4" spans="1:22">
      <c r="A4" s="13"/>
      <c r="B4" s="247" t="s">
        <v>73</v>
      </c>
      <c r="C4" s="246"/>
      <c r="D4" s="246"/>
      <c r="E4" s="246"/>
      <c r="F4" s="66">
        <v>100</v>
      </c>
      <c r="G4" s="35" t="s">
        <v>7</v>
      </c>
      <c r="H4" s="36"/>
      <c r="I4" s="37"/>
      <c r="J4" s="38"/>
      <c r="K4" s="8"/>
    </row>
    <row r="5" spans="1:22">
      <c r="A5" s="13"/>
      <c r="B5" s="247" t="s">
        <v>74</v>
      </c>
      <c r="C5" s="246"/>
      <c r="D5" s="246"/>
      <c r="E5" s="246"/>
      <c r="F5" s="82">
        <v>0.95</v>
      </c>
      <c r="G5" s="35" t="s">
        <v>52</v>
      </c>
      <c r="H5" s="36"/>
      <c r="I5" s="39"/>
      <c r="J5" s="38"/>
      <c r="K5" s="15"/>
      <c r="L5" s="14" t="s">
        <v>58</v>
      </c>
      <c r="N5" s="32">
        <f>T23</f>
        <v>122392.77599999998</v>
      </c>
    </row>
    <row r="6" spans="1:22">
      <c r="A6" s="13"/>
      <c r="B6" s="247" t="s">
        <v>93</v>
      </c>
      <c r="C6" s="246"/>
      <c r="D6" s="246"/>
      <c r="E6" s="246"/>
      <c r="F6" s="82">
        <v>0.8</v>
      </c>
      <c r="G6" s="35" t="s">
        <v>67</v>
      </c>
      <c r="H6" s="36"/>
      <c r="I6" s="39"/>
      <c r="J6" s="38"/>
      <c r="K6" s="9"/>
      <c r="L6" s="14" t="s">
        <v>57</v>
      </c>
      <c r="N6" s="33">
        <f>N5/P23</f>
        <v>0.50996989999999998</v>
      </c>
    </row>
    <row r="7" spans="1:22">
      <c r="A7" s="13"/>
      <c r="B7" s="246" t="s">
        <v>61</v>
      </c>
      <c r="C7" s="246"/>
      <c r="D7" s="246"/>
      <c r="E7" s="253"/>
      <c r="F7" s="52">
        <f>F4*F6/F5*0.7467</f>
        <v>62.88000000000001</v>
      </c>
      <c r="G7" s="35" t="s">
        <v>45</v>
      </c>
      <c r="H7" s="36"/>
      <c r="I7" s="40"/>
      <c r="J7" s="38"/>
      <c r="K7" s="8"/>
      <c r="L7" s="14" t="s">
        <v>66</v>
      </c>
      <c r="N7" s="32">
        <f>N5/F7</f>
        <v>1946.4499999999994</v>
      </c>
    </row>
    <row r="8" spans="1:22" ht="13.5" customHeight="1">
      <c r="A8" s="13"/>
      <c r="B8" s="246" t="s">
        <v>47</v>
      </c>
      <c r="C8" s="246"/>
      <c r="D8" s="246"/>
      <c r="E8" s="246"/>
      <c r="F8" s="66">
        <v>60</v>
      </c>
      <c r="G8" s="41" t="s">
        <v>56</v>
      </c>
      <c r="H8" s="257" t="s">
        <v>72</v>
      </c>
      <c r="I8" s="257"/>
      <c r="J8" s="257"/>
      <c r="K8" s="8"/>
    </row>
    <row r="9" spans="1:22" ht="13.5" customHeight="1" thickBot="1">
      <c r="A9" s="13"/>
      <c r="B9" s="80"/>
      <c r="C9" s="80"/>
      <c r="D9" s="80"/>
      <c r="E9" s="80"/>
      <c r="F9" s="80"/>
      <c r="G9" s="41"/>
      <c r="H9" s="258"/>
      <c r="I9" s="258"/>
      <c r="J9" s="258"/>
      <c r="K9" s="8"/>
      <c r="V9" s="14" t="str">
        <f>"Existing - "&amp;E16</f>
        <v>Existing - None-Constant Volume</v>
      </c>
    </row>
    <row r="10" spans="1:22" ht="13.5" thickBot="1">
      <c r="A10" s="13"/>
      <c r="B10" s="220" t="s">
        <v>53</v>
      </c>
      <c r="C10" s="221"/>
      <c r="D10" s="221"/>
      <c r="E10" s="221"/>
      <c r="F10" s="221"/>
      <c r="G10" s="221"/>
      <c r="H10" s="221"/>
      <c r="I10" s="221"/>
      <c r="J10" s="222"/>
      <c r="L10" s="241" t="s">
        <v>63</v>
      </c>
      <c r="M10" s="242"/>
      <c r="N10" s="241" t="s">
        <v>60</v>
      </c>
      <c r="O10" s="243"/>
      <c r="P10" s="242"/>
      <c r="Q10" s="241" t="s">
        <v>65</v>
      </c>
      <c r="R10" s="243"/>
      <c r="S10" s="242"/>
      <c r="T10" s="28" t="s">
        <v>59</v>
      </c>
      <c r="V10" s="14" t="str">
        <f>"Proposed - "&amp;E18</f>
        <v>Proposed - VSD</v>
      </c>
    </row>
    <row r="11" spans="1:22" ht="13.5" thickBot="1">
      <c r="A11" s="13"/>
      <c r="B11" s="42"/>
      <c r="C11" s="38"/>
      <c r="D11" s="38"/>
      <c r="E11" s="38"/>
      <c r="F11" s="38"/>
      <c r="G11" s="38"/>
      <c r="H11" s="38"/>
      <c r="I11" s="38"/>
      <c r="J11" s="38"/>
      <c r="K11" s="8"/>
      <c r="L11" s="29" t="s">
        <v>90</v>
      </c>
      <c r="M11" s="30" t="s">
        <v>64</v>
      </c>
      <c r="N11" s="29" t="s">
        <v>62</v>
      </c>
      <c r="O11" s="31" t="s">
        <v>45</v>
      </c>
      <c r="P11" s="30" t="s">
        <v>55</v>
      </c>
      <c r="Q11" s="29" t="s">
        <v>62</v>
      </c>
      <c r="R11" s="31" t="s">
        <v>45</v>
      </c>
      <c r="S11" s="30" t="s">
        <v>55</v>
      </c>
      <c r="T11" s="30" t="s">
        <v>55</v>
      </c>
    </row>
    <row r="12" spans="1:22" ht="13.5" thickTop="1">
      <c r="A12" s="13"/>
      <c r="B12" s="247" t="s">
        <v>46</v>
      </c>
      <c r="C12" s="247"/>
      <c r="D12" s="247"/>
      <c r="E12" s="248"/>
      <c r="F12" s="67">
        <v>4000</v>
      </c>
      <c r="G12" s="36" t="s">
        <v>0</v>
      </c>
      <c r="H12" s="36"/>
      <c r="I12" s="43"/>
      <c r="J12" s="38"/>
      <c r="K12" s="8"/>
      <c r="L12" s="18">
        <v>0</v>
      </c>
      <c r="M12" s="27">
        <f>$F$12*F29</f>
        <v>0</v>
      </c>
      <c r="N12" s="18">
        <f t="shared" ref="N12:N22" si="0">VLOOKUP($L12,Pump_Curves,$J$16,TRUE)/100</f>
        <v>1</v>
      </c>
      <c r="O12" s="16">
        <f>N12*IF($F$8="",F$7,F$8)</f>
        <v>60</v>
      </c>
      <c r="P12" s="19">
        <f>O12*M12</f>
        <v>0</v>
      </c>
      <c r="Q12" s="18">
        <f t="shared" ref="Q12:Q22" si="1">VLOOKUP($L12,Pump_Curves,$J$18,TRUE)/100</f>
        <v>0.27447510000000003</v>
      </c>
      <c r="R12" s="17">
        <f>Q12*IF($F$8="",$F$7,$F$8)</f>
        <v>16.468506000000001</v>
      </c>
      <c r="S12" s="19">
        <f>R12*M12</f>
        <v>0</v>
      </c>
      <c r="T12" s="19">
        <f>P12-S12</f>
        <v>0</v>
      </c>
    </row>
    <row r="13" spans="1:22" ht="13.5" thickBot="1">
      <c r="A13" s="13"/>
      <c r="B13" s="44"/>
      <c r="C13" s="44"/>
      <c r="D13" s="44"/>
      <c r="E13" s="44"/>
      <c r="F13" s="44"/>
      <c r="G13" s="44"/>
      <c r="H13" s="44"/>
      <c r="I13" s="44"/>
      <c r="J13" s="38"/>
      <c r="K13" s="8"/>
      <c r="L13" s="18">
        <v>0.1</v>
      </c>
      <c r="M13" s="27">
        <f t="shared" ref="M13:M22" si="2">$F$12*F30</f>
        <v>0</v>
      </c>
      <c r="N13" s="18">
        <f t="shared" si="0"/>
        <v>1</v>
      </c>
      <c r="O13" s="16">
        <f t="shared" ref="O13:O22" si="3">N13*IF($F$8="",F$7,F$8)</f>
        <v>60</v>
      </c>
      <c r="P13" s="19">
        <f t="shared" ref="P13:P22" si="4">O13*M13</f>
        <v>0</v>
      </c>
      <c r="Q13" s="18">
        <f t="shared" si="1"/>
        <v>0.19124210000000003</v>
      </c>
      <c r="R13" s="17">
        <f t="shared" ref="R13:R22" si="5">Q13*IF($F$8="",$F$7,$F$8)</f>
        <v>11.474526000000001</v>
      </c>
      <c r="S13" s="19">
        <f t="shared" ref="S13:S22" si="6">R13*M13</f>
        <v>0</v>
      </c>
      <c r="T13" s="19">
        <f t="shared" ref="T13:T22" si="7">P13-S13</f>
        <v>0</v>
      </c>
    </row>
    <row r="14" spans="1:22" ht="13.5" thickBot="1">
      <c r="A14" s="13"/>
      <c r="B14" s="220" t="s">
        <v>17</v>
      </c>
      <c r="C14" s="221"/>
      <c r="D14" s="221"/>
      <c r="E14" s="221"/>
      <c r="F14" s="221"/>
      <c r="G14" s="221"/>
      <c r="H14" s="221"/>
      <c r="I14" s="221"/>
      <c r="J14" s="222"/>
      <c r="K14" s="8"/>
      <c r="L14" s="18">
        <v>0.2</v>
      </c>
      <c r="M14" s="27">
        <f t="shared" si="2"/>
        <v>0</v>
      </c>
      <c r="N14" s="18">
        <f t="shared" si="0"/>
        <v>1</v>
      </c>
      <c r="O14" s="16">
        <f t="shared" si="3"/>
        <v>60</v>
      </c>
      <c r="P14" s="19">
        <f t="shared" si="4"/>
        <v>0</v>
      </c>
      <c r="Q14" s="18">
        <f t="shared" si="1"/>
        <v>0.14324910000000002</v>
      </c>
      <c r="R14" s="17">
        <f t="shared" si="5"/>
        <v>8.5949460000000002</v>
      </c>
      <c r="S14" s="19">
        <f t="shared" si="6"/>
        <v>0</v>
      </c>
      <c r="T14" s="19">
        <f t="shared" si="7"/>
        <v>0</v>
      </c>
    </row>
    <row r="15" spans="1:22">
      <c r="A15" s="13"/>
      <c r="B15" s="45"/>
      <c r="C15" s="45"/>
      <c r="D15" s="45"/>
      <c r="E15" s="46"/>
      <c r="F15" s="46"/>
      <c r="G15" s="46"/>
      <c r="H15" s="46"/>
      <c r="I15" s="46"/>
      <c r="J15" s="56" t="s">
        <v>51</v>
      </c>
      <c r="L15" s="18">
        <v>0.3</v>
      </c>
      <c r="M15" s="27">
        <f t="shared" si="2"/>
        <v>0</v>
      </c>
      <c r="N15" s="18">
        <f t="shared" si="0"/>
        <v>1</v>
      </c>
      <c r="O15" s="16">
        <f t="shared" si="3"/>
        <v>60</v>
      </c>
      <c r="P15" s="19">
        <f t="shared" si="4"/>
        <v>0</v>
      </c>
      <c r="Q15" s="18">
        <f t="shared" si="1"/>
        <v>0.13049610000000006</v>
      </c>
      <c r="R15" s="17">
        <f t="shared" si="5"/>
        <v>7.8297660000000038</v>
      </c>
      <c r="S15" s="19">
        <f t="shared" si="6"/>
        <v>0</v>
      </c>
      <c r="T15" s="19">
        <f t="shared" si="7"/>
        <v>0</v>
      </c>
    </row>
    <row r="16" spans="1:22">
      <c r="A16" s="13"/>
      <c r="B16" s="48" t="s">
        <v>49</v>
      </c>
      <c r="C16" s="48"/>
      <c r="D16" s="49"/>
      <c r="E16" s="262" t="s">
        <v>150</v>
      </c>
      <c r="F16" s="263"/>
      <c r="G16" s="263"/>
      <c r="H16" s="264"/>
      <c r="I16" s="44"/>
      <c r="J16" s="50">
        <f>VLOOKUP(E16,'Lookup Tables'!$E$3:$F$7,2,FALSE)</f>
        <v>5</v>
      </c>
      <c r="K16" s="10"/>
      <c r="L16" s="18">
        <v>0.4</v>
      </c>
      <c r="M16" s="27">
        <f t="shared" si="2"/>
        <v>400</v>
      </c>
      <c r="N16" s="18">
        <f t="shared" si="0"/>
        <v>1</v>
      </c>
      <c r="O16" s="16">
        <f t="shared" si="3"/>
        <v>60</v>
      </c>
      <c r="P16" s="19">
        <f t="shared" si="4"/>
        <v>24000</v>
      </c>
      <c r="Q16" s="18">
        <f t="shared" si="1"/>
        <v>0.15298310000000001</v>
      </c>
      <c r="R16" s="17">
        <f t="shared" si="5"/>
        <v>9.1789860000000001</v>
      </c>
      <c r="S16" s="19">
        <f t="shared" si="6"/>
        <v>3671.5944</v>
      </c>
      <c r="T16" s="19">
        <f t="shared" si="7"/>
        <v>20328.405599999998</v>
      </c>
    </row>
    <row r="17" spans="1:20">
      <c r="A17" s="13"/>
      <c r="B17" s="46"/>
      <c r="C17" s="46"/>
      <c r="D17" s="46"/>
      <c r="E17" s="46"/>
      <c r="F17" s="46"/>
      <c r="G17" s="46"/>
      <c r="H17" s="46"/>
      <c r="I17" s="46"/>
      <c r="J17" s="46"/>
      <c r="K17" s="11"/>
      <c r="L17" s="18">
        <v>0.5</v>
      </c>
      <c r="M17" s="27">
        <f t="shared" si="2"/>
        <v>600</v>
      </c>
      <c r="N17" s="18">
        <f t="shared" si="0"/>
        <v>1</v>
      </c>
      <c r="O17" s="16">
        <f t="shared" si="3"/>
        <v>60</v>
      </c>
      <c r="P17" s="19">
        <f t="shared" si="4"/>
        <v>36000</v>
      </c>
      <c r="Q17" s="18">
        <f t="shared" si="1"/>
        <v>0.21071010000000001</v>
      </c>
      <c r="R17" s="17">
        <f t="shared" si="5"/>
        <v>12.642606000000001</v>
      </c>
      <c r="S17" s="19">
        <f t="shared" si="6"/>
        <v>7585.5636000000004</v>
      </c>
      <c r="T17" s="19">
        <f t="shared" si="7"/>
        <v>28414.436399999999</v>
      </c>
    </row>
    <row r="18" spans="1:20">
      <c r="A18" s="13"/>
      <c r="B18" s="47" t="s">
        <v>50</v>
      </c>
      <c r="C18" s="44"/>
      <c r="D18" s="51"/>
      <c r="E18" s="262" t="s">
        <v>13</v>
      </c>
      <c r="F18" s="263"/>
      <c r="G18" s="263"/>
      <c r="H18" s="264"/>
      <c r="I18" s="44"/>
      <c r="J18" s="50">
        <f>VLOOKUP(E18,'Lookup Tables'!$E$3:$F$7,2,FALSE)</f>
        <v>2</v>
      </c>
      <c r="K18" s="10"/>
      <c r="L18" s="18">
        <v>0.6</v>
      </c>
      <c r="M18" s="27">
        <f t="shared" si="2"/>
        <v>600</v>
      </c>
      <c r="N18" s="18">
        <f t="shared" si="0"/>
        <v>1</v>
      </c>
      <c r="O18" s="16">
        <f t="shared" si="3"/>
        <v>60</v>
      </c>
      <c r="P18" s="19">
        <f t="shared" si="4"/>
        <v>36000</v>
      </c>
      <c r="Q18" s="18">
        <f t="shared" si="1"/>
        <v>0.30367710000000009</v>
      </c>
      <c r="R18" s="17">
        <f t="shared" si="5"/>
        <v>18.220626000000006</v>
      </c>
      <c r="S18" s="19">
        <f t="shared" si="6"/>
        <v>10932.375600000003</v>
      </c>
      <c r="T18" s="19">
        <f t="shared" si="7"/>
        <v>25067.624399999997</v>
      </c>
    </row>
    <row r="19" spans="1:20">
      <c r="B19" s="44"/>
      <c r="C19" s="44"/>
      <c r="D19" s="44"/>
      <c r="E19" s="44"/>
      <c r="F19" s="44"/>
      <c r="G19" s="44"/>
      <c r="H19" s="44"/>
      <c r="I19" s="44"/>
      <c r="J19" s="44"/>
      <c r="K19" s="11"/>
      <c r="L19" s="18">
        <v>0.7</v>
      </c>
      <c r="M19" s="27">
        <f t="shared" si="2"/>
        <v>800</v>
      </c>
      <c r="N19" s="18">
        <f t="shared" si="0"/>
        <v>1</v>
      </c>
      <c r="O19" s="16">
        <f t="shared" si="3"/>
        <v>60</v>
      </c>
      <c r="P19" s="19">
        <f t="shared" si="4"/>
        <v>48000</v>
      </c>
      <c r="Q19" s="18">
        <f t="shared" si="1"/>
        <v>0.4318841000000001</v>
      </c>
      <c r="R19" s="17">
        <f t="shared" si="5"/>
        <v>25.913046000000005</v>
      </c>
      <c r="S19" s="19">
        <f t="shared" si="6"/>
        <v>20730.436800000003</v>
      </c>
      <c r="T19" s="19">
        <f t="shared" si="7"/>
        <v>27269.563199999997</v>
      </c>
    </row>
    <row r="20" spans="1:20">
      <c r="A20" s="13"/>
      <c r="B20" s="46"/>
      <c r="C20" s="46"/>
      <c r="D20" s="46"/>
      <c r="E20" s="46"/>
      <c r="F20" s="46"/>
      <c r="G20" s="46"/>
      <c r="H20" s="46"/>
      <c r="I20" s="46"/>
      <c r="J20" s="46"/>
      <c r="K20" s="11"/>
      <c r="L20" s="18">
        <v>0.8</v>
      </c>
      <c r="M20" s="27">
        <f t="shared" si="2"/>
        <v>600</v>
      </c>
      <c r="N20" s="18">
        <f t="shared" si="0"/>
        <v>1</v>
      </c>
      <c r="O20" s="16">
        <f t="shared" si="3"/>
        <v>60</v>
      </c>
      <c r="P20" s="19">
        <f t="shared" si="4"/>
        <v>36000</v>
      </c>
      <c r="Q20" s="18">
        <f t="shared" si="1"/>
        <v>0.5953311</v>
      </c>
      <c r="R20" s="17">
        <f t="shared" si="5"/>
        <v>35.719866000000003</v>
      </c>
      <c r="S20" s="19">
        <f t="shared" si="6"/>
        <v>21431.919600000001</v>
      </c>
      <c r="T20" s="19">
        <f t="shared" si="7"/>
        <v>14568.080399999999</v>
      </c>
    </row>
    <row r="21" spans="1:20">
      <c r="A21" s="13"/>
      <c r="B21" s="46"/>
      <c r="C21" s="46"/>
      <c r="D21" s="46"/>
      <c r="E21" s="46"/>
      <c r="F21" s="46"/>
      <c r="G21" s="46"/>
      <c r="H21" s="46"/>
      <c r="I21" s="46"/>
      <c r="J21" s="46"/>
      <c r="K21" s="12"/>
      <c r="L21" s="18">
        <v>0.9</v>
      </c>
      <c r="M21" s="27">
        <f t="shared" si="2"/>
        <v>600</v>
      </c>
      <c r="N21" s="18">
        <f t="shared" si="0"/>
        <v>1</v>
      </c>
      <c r="O21" s="16">
        <f t="shared" si="3"/>
        <v>60</v>
      </c>
      <c r="P21" s="19">
        <f t="shared" si="4"/>
        <v>36000</v>
      </c>
      <c r="Q21" s="18">
        <f t="shared" si="1"/>
        <v>0.79401810000000017</v>
      </c>
      <c r="R21" s="17">
        <f t="shared" si="5"/>
        <v>47.641086000000008</v>
      </c>
      <c r="S21" s="19">
        <f t="shared" si="6"/>
        <v>28584.651600000005</v>
      </c>
      <c r="T21" s="19">
        <f t="shared" si="7"/>
        <v>7415.3483999999953</v>
      </c>
    </row>
    <row r="22" spans="1:20" ht="15.75" customHeight="1" thickBot="1">
      <c r="A22" s="13"/>
      <c r="B22" s="44"/>
      <c r="C22" s="44"/>
      <c r="D22" s="44"/>
      <c r="E22" s="44"/>
      <c r="F22" s="44"/>
      <c r="G22" s="44"/>
      <c r="H22" s="44"/>
      <c r="I22" s="44"/>
      <c r="J22" s="44"/>
      <c r="L22" s="20">
        <v>1</v>
      </c>
      <c r="M22" s="27">
        <f t="shared" si="2"/>
        <v>400</v>
      </c>
      <c r="N22" s="20">
        <f t="shared" si="0"/>
        <v>1</v>
      </c>
      <c r="O22" s="16">
        <f t="shared" si="3"/>
        <v>60</v>
      </c>
      <c r="P22" s="21">
        <f t="shared" si="4"/>
        <v>24000</v>
      </c>
      <c r="Q22" s="20">
        <f t="shared" si="1"/>
        <v>1.0279450999999999</v>
      </c>
      <c r="R22" s="17">
        <f t="shared" si="5"/>
        <v>61.676705999999996</v>
      </c>
      <c r="S22" s="21">
        <f t="shared" si="6"/>
        <v>24670.682399999998</v>
      </c>
      <c r="T22" s="21">
        <f t="shared" si="7"/>
        <v>-670.68239999999787</v>
      </c>
    </row>
    <row r="23" spans="1:20" ht="15.75" customHeight="1" thickBot="1">
      <c r="A23" s="13"/>
      <c r="B23" s="259" t="s">
        <v>27</v>
      </c>
      <c r="C23" s="260"/>
      <c r="D23" s="260"/>
      <c r="E23" s="260"/>
      <c r="F23" s="260"/>
      <c r="G23" s="260"/>
      <c r="H23" s="260"/>
      <c r="I23" s="260"/>
      <c r="J23" s="261"/>
      <c r="L23" s="22" t="s">
        <v>29</v>
      </c>
      <c r="M23" s="23">
        <f>SUM(M12:M22)</f>
        <v>4000</v>
      </c>
      <c r="N23" s="24"/>
      <c r="O23" s="24"/>
      <c r="P23" s="25">
        <f>SUM(P12:P22)</f>
        <v>240000</v>
      </c>
      <c r="Q23" s="23"/>
      <c r="R23" s="25"/>
      <c r="S23" s="25">
        <f>SUM(S12:S22)</f>
        <v>117607.22400000002</v>
      </c>
      <c r="T23" s="26">
        <f>SUM(T12:T22)</f>
        <v>122392.77599999998</v>
      </c>
    </row>
    <row r="24" spans="1:20" ht="13.5" customHeight="1">
      <c r="A24" s="13"/>
      <c r="B24" s="44" t="s">
        <v>68</v>
      </c>
      <c r="C24" s="44"/>
      <c r="D24" s="44"/>
      <c r="E24" s="44"/>
      <c r="F24" s="57" t="s">
        <v>51</v>
      </c>
      <c r="G24" s="44"/>
      <c r="H24" s="44"/>
      <c r="I24" s="44"/>
      <c r="J24" s="44"/>
    </row>
    <row r="25" spans="1:20">
      <c r="B25" s="254" t="s">
        <v>28</v>
      </c>
      <c r="C25" s="255"/>
      <c r="D25" s="256"/>
      <c r="E25" s="44"/>
      <c r="F25" s="58">
        <f>VLOOKUP(B25,'Lookup Tables'!$H$3:$I$7,2,FALSE)</f>
        <v>6</v>
      </c>
      <c r="G25" s="44"/>
      <c r="H25" s="44"/>
      <c r="I25" s="44"/>
      <c r="J25" s="44"/>
    </row>
    <row r="26" spans="1:20">
      <c r="B26" s="44"/>
      <c r="C26" s="44"/>
      <c r="D26" s="44"/>
      <c r="E26" s="44"/>
      <c r="F26" s="44"/>
      <c r="G26" s="44"/>
      <c r="H26" s="44"/>
      <c r="I26" s="44"/>
      <c r="J26" s="44"/>
    </row>
    <row r="27" spans="1:20" ht="15.75" customHeight="1">
      <c r="B27" s="44" t="str">
        <f>B25</f>
        <v>Custom or Metered</v>
      </c>
      <c r="C27" s="44"/>
      <c r="D27" s="59" t="s">
        <v>69</v>
      </c>
      <c r="E27" s="44"/>
      <c r="F27" s="44"/>
      <c r="G27" s="44"/>
      <c r="H27" s="44"/>
      <c r="I27" s="44"/>
      <c r="J27" s="44"/>
    </row>
    <row r="28" spans="1:20" ht="38.25">
      <c r="B28" s="53" t="s">
        <v>36</v>
      </c>
      <c r="C28" s="54" t="s">
        <v>70</v>
      </c>
      <c r="D28" s="60" t="s">
        <v>70</v>
      </c>
      <c r="E28" s="44"/>
      <c r="F28" s="44" t="s">
        <v>71</v>
      </c>
      <c r="G28" s="44"/>
      <c r="H28" s="44"/>
      <c r="I28" s="44"/>
      <c r="J28" s="44"/>
    </row>
    <row r="29" spans="1:20">
      <c r="B29" s="63">
        <v>0</v>
      </c>
      <c r="C29" s="61">
        <f>VLOOKUP(B29,'VFD Load Curves'!$B$4:$G$14,$F$25,FALSE)</f>
        <v>0</v>
      </c>
      <c r="D29" s="141">
        <v>0</v>
      </c>
      <c r="E29" s="44"/>
      <c r="F29" s="61">
        <f>IF($F$25=6,D29,C29)</f>
        <v>0</v>
      </c>
      <c r="G29" s="44"/>
      <c r="H29" s="44"/>
      <c r="I29" s="44"/>
      <c r="J29" s="44"/>
    </row>
    <row r="30" spans="1:20">
      <c r="B30" s="63">
        <v>0.1</v>
      </c>
      <c r="C30" s="61">
        <f>VLOOKUP(B30,'VFD Load Curves'!$B$4:$G$14,$F$25,FALSE)</f>
        <v>0</v>
      </c>
      <c r="D30" s="141">
        <v>0</v>
      </c>
      <c r="E30" s="44"/>
      <c r="F30" s="61">
        <f t="shared" ref="F30:F39" si="8">IF($F$25=6,D30,C30)</f>
        <v>0</v>
      </c>
      <c r="G30" s="44"/>
      <c r="H30" s="44"/>
      <c r="I30" s="44"/>
      <c r="J30" s="44"/>
    </row>
    <row r="31" spans="1:20">
      <c r="B31" s="63">
        <v>0.2</v>
      </c>
      <c r="C31" s="61">
        <f>VLOOKUP(B31,'VFD Load Curves'!$B$4:$G$14,$F$25,FALSE)</f>
        <v>0</v>
      </c>
      <c r="D31" s="141">
        <v>0</v>
      </c>
      <c r="E31" s="44"/>
      <c r="F31" s="61">
        <f t="shared" si="8"/>
        <v>0</v>
      </c>
      <c r="G31" s="44"/>
      <c r="H31" s="44"/>
      <c r="I31" s="44"/>
      <c r="J31" s="44"/>
    </row>
    <row r="32" spans="1:20">
      <c r="B32" s="63">
        <v>0.3</v>
      </c>
      <c r="C32" s="61">
        <f>VLOOKUP(B32,'VFD Load Curves'!$B$4:$G$14,$F$25,FALSE)</f>
        <v>0</v>
      </c>
      <c r="D32" s="141">
        <v>0</v>
      </c>
      <c r="E32" s="44"/>
      <c r="F32" s="61">
        <f t="shared" si="8"/>
        <v>0</v>
      </c>
      <c r="G32" s="44"/>
      <c r="H32" s="44"/>
      <c r="I32" s="44"/>
      <c r="J32" s="44"/>
    </row>
    <row r="33" spans="2:10">
      <c r="B33" s="63">
        <v>0.4</v>
      </c>
      <c r="C33" s="61">
        <f>VLOOKUP(B33,'VFD Load Curves'!$B$4:$G$14,$F$25,FALSE)</f>
        <v>0</v>
      </c>
      <c r="D33" s="141">
        <v>0.1</v>
      </c>
      <c r="E33" s="44"/>
      <c r="F33" s="61">
        <f t="shared" si="8"/>
        <v>0.1</v>
      </c>
      <c r="G33" s="44"/>
      <c r="H33" s="44"/>
      <c r="I33" s="44"/>
      <c r="J33" s="44"/>
    </row>
    <row r="34" spans="2:10">
      <c r="B34" s="63">
        <v>0.5</v>
      </c>
      <c r="C34" s="61">
        <f>VLOOKUP(B34,'VFD Load Curves'!$B$4:$G$14,$F$25,FALSE)</f>
        <v>0</v>
      </c>
      <c r="D34" s="141">
        <v>0.15</v>
      </c>
      <c r="E34" s="44"/>
      <c r="F34" s="61">
        <f t="shared" si="8"/>
        <v>0.15</v>
      </c>
      <c r="G34" s="44"/>
      <c r="H34" s="44"/>
      <c r="I34" s="44"/>
      <c r="J34" s="44"/>
    </row>
    <row r="35" spans="2:10">
      <c r="B35" s="63">
        <v>0.6</v>
      </c>
      <c r="C35" s="61">
        <f>VLOOKUP(B35,'VFD Load Curves'!$B$4:$G$14,$F$25,FALSE)</f>
        <v>0</v>
      </c>
      <c r="D35" s="141">
        <v>0.15</v>
      </c>
      <c r="E35" s="44"/>
      <c r="F35" s="61">
        <f t="shared" si="8"/>
        <v>0.15</v>
      </c>
      <c r="G35" s="44"/>
      <c r="H35" s="44"/>
      <c r="I35" s="44"/>
      <c r="J35" s="44"/>
    </row>
    <row r="36" spans="2:10">
      <c r="B36" s="63">
        <v>0.7</v>
      </c>
      <c r="C36" s="61">
        <f>VLOOKUP(B36,'VFD Load Curves'!$B$4:$G$14,$F$25,FALSE)</f>
        <v>0</v>
      </c>
      <c r="D36" s="141">
        <v>0.2</v>
      </c>
      <c r="E36" s="44"/>
      <c r="F36" s="61">
        <f t="shared" si="8"/>
        <v>0.2</v>
      </c>
      <c r="G36" s="44"/>
      <c r="H36" s="44"/>
      <c r="I36" s="44"/>
      <c r="J36" s="44"/>
    </row>
    <row r="37" spans="2:10">
      <c r="B37" s="63">
        <v>0.8</v>
      </c>
      <c r="C37" s="61">
        <f>VLOOKUP(B37,'VFD Load Curves'!$B$4:$G$14,$F$25,FALSE)</f>
        <v>0</v>
      </c>
      <c r="D37" s="141">
        <v>0.15</v>
      </c>
      <c r="E37" s="44"/>
      <c r="F37" s="61">
        <f t="shared" si="8"/>
        <v>0.15</v>
      </c>
      <c r="G37" s="44"/>
      <c r="H37" s="44"/>
      <c r="I37" s="44"/>
      <c r="J37" s="44"/>
    </row>
    <row r="38" spans="2:10">
      <c r="B38" s="63">
        <v>0.9</v>
      </c>
      <c r="C38" s="61">
        <f>VLOOKUP(B38,'VFD Load Curves'!$B$4:$G$14,$F$25,FALSE)</f>
        <v>0</v>
      </c>
      <c r="D38" s="141">
        <v>0.15</v>
      </c>
      <c r="E38" s="44"/>
      <c r="F38" s="61">
        <f t="shared" si="8"/>
        <v>0.15</v>
      </c>
      <c r="G38" s="44"/>
      <c r="H38" s="44"/>
      <c r="I38" s="44"/>
      <c r="J38" s="44"/>
    </row>
    <row r="39" spans="2:10">
      <c r="B39" s="63">
        <v>1</v>
      </c>
      <c r="C39" s="61">
        <f>VLOOKUP(B39,'VFD Load Curves'!$B$4:$G$14,$F$25,FALSE)</f>
        <v>0</v>
      </c>
      <c r="D39" s="141">
        <v>0.1</v>
      </c>
      <c r="E39" s="44"/>
      <c r="F39" s="61">
        <f t="shared" si="8"/>
        <v>0.1</v>
      </c>
      <c r="G39" s="44"/>
      <c r="H39" s="44"/>
      <c r="I39" s="44"/>
      <c r="J39" s="44"/>
    </row>
    <row r="40" spans="2:10">
      <c r="B40" s="62" t="s">
        <v>29</v>
      </c>
      <c r="C40" s="64">
        <f>SUM(C29:C39)</f>
        <v>0</v>
      </c>
      <c r="D40" s="65">
        <f>SUM(D29:D39)</f>
        <v>1.0000000000000002</v>
      </c>
      <c r="E40" s="44"/>
      <c r="F40" s="44"/>
      <c r="G40" s="44"/>
      <c r="H40" s="44"/>
      <c r="I40" s="44"/>
      <c r="J40" s="44"/>
    </row>
    <row r="44" spans="2:10">
      <c r="B44" s="72" t="s">
        <v>79</v>
      </c>
      <c r="C44" s="68"/>
      <c r="D44" s="68"/>
      <c r="E44" s="68"/>
      <c r="F44" s="68"/>
      <c r="G44" s="68"/>
    </row>
    <row r="45" spans="2:10">
      <c r="B45" s="69" t="s">
        <v>45</v>
      </c>
      <c r="C45" s="90" t="s">
        <v>76</v>
      </c>
      <c r="D45" s="90" t="s">
        <v>77</v>
      </c>
      <c r="E45" s="90" t="s">
        <v>83</v>
      </c>
      <c r="F45" s="91" t="s">
        <v>78</v>
      </c>
      <c r="G45" s="68"/>
    </row>
    <row r="46" spans="2:10">
      <c r="B46" s="75">
        <f>C46*D46*F46*E46^0.5/1000</f>
        <v>5.7365522746681208</v>
      </c>
      <c r="C46" s="142">
        <v>8</v>
      </c>
      <c r="D46" s="143">
        <v>460</v>
      </c>
      <c r="E46" s="143">
        <v>3</v>
      </c>
      <c r="F46" s="144">
        <v>0.9</v>
      </c>
      <c r="G46" s="68"/>
    </row>
    <row r="47" spans="2:10" ht="14.25">
      <c r="B47" s="72" t="s">
        <v>80</v>
      </c>
      <c r="C47" s="73"/>
      <c r="D47" s="73"/>
      <c r="E47" s="73"/>
      <c r="F47" s="73"/>
      <c r="G47" s="73"/>
    </row>
    <row r="48" spans="2:10">
      <c r="B48" s="69" t="s">
        <v>45</v>
      </c>
      <c r="C48" s="81" t="s">
        <v>81</v>
      </c>
      <c r="D48" s="81" t="s">
        <v>77</v>
      </c>
      <c r="E48" s="81" t="s">
        <v>83</v>
      </c>
      <c r="F48" s="81" t="s">
        <v>78</v>
      </c>
      <c r="G48" s="226" t="s">
        <v>82</v>
      </c>
      <c r="H48" s="227"/>
    </row>
    <row r="49" spans="2:8">
      <c r="B49" s="76">
        <f>G49*C49*D49*F49*E49^0.5/1000</f>
        <v>5.7365522746681208</v>
      </c>
      <c r="C49" s="145">
        <v>10</v>
      </c>
      <c r="D49" s="146">
        <v>460</v>
      </c>
      <c r="E49" s="146">
        <v>3</v>
      </c>
      <c r="F49" s="147">
        <v>0.9</v>
      </c>
      <c r="G49" s="228">
        <v>0.8</v>
      </c>
      <c r="H49" s="229"/>
    </row>
    <row r="52" spans="2:8">
      <c r="B52" s="265" t="s">
        <v>84</v>
      </c>
      <c r="C52" s="266"/>
      <c r="D52" s="266"/>
      <c r="E52" s="266"/>
      <c r="F52" s="267"/>
    </row>
    <row r="53" spans="2:8">
      <c r="B53" s="131"/>
      <c r="C53" s="268" t="s">
        <v>85</v>
      </c>
      <c r="D53" s="269"/>
      <c r="E53" s="268" t="s">
        <v>86</v>
      </c>
      <c r="F53" s="269"/>
    </row>
    <row r="54" spans="2:8">
      <c r="B54" s="136" t="s">
        <v>87</v>
      </c>
      <c r="C54" s="137" t="s">
        <v>88</v>
      </c>
      <c r="D54" s="137" t="s">
        <v>89</v>
      </c>
      <c r="E54" s="137" t="s">
        <v>88</v>
      </c>
      <c r="F54" s="137" t="s">
        <v>89</v>
      </c>
    </row>
    <row r="55" spans="2:8">
      <c r="B55" s="132">
        <v>1E-3</v>
      </c>
      <c r="C55" s="77">
        <v>0.5</v>
      </c>
      <c r="D55" s="78">
        <v>0.55000000000000004</v>
      </c>
      <c r="E55" s="79">
        <v>0.5</v>
      </c>
      <c r="F55" s="79">
        <v>0.55000000000000004</v>
      </c>
    </row>
    <row r="56" spans="2:8">
      <c r="B56" s="132">
        <v>0.25</v>
      </c>
      <c r="C56" s="77">
        <v>0.627</v>
      </c>
      <c r="D56" s="78">
        <v>0.67500000000000004</v>
      </c>
      <c r="E56" s="79">
        <v>0.53332850507625384</v>
      </c>
      <c r="F56" s="79">
        <v>0.57797007624189589</v>
      </c>
    </row>
    <row r="57" spans="2:8">
      <c r="B57" s="132">
        <v>0.33</v>
      </c>
      <c r="C57" s="77">
        <v>0.66</v>
      </c>
      <c r="D57" s="78">
        <v>0.68799999999999994</v>
      </c>
      <c r="E57" s="79">
        <v>0.62420768234124757</v>
      </c>
      <c r="F57" s="79">
        <v>0.64157558712399831</v>
      </c>
    </row>
    <row r="58" spans="2:8">
      <c r="B58" s="132">
        <v>0.5</v>
      </c>
      <c r="C58" s="77">
        <v>0.69</v>
      </c>
      <c r="D58" s="78">
        <v>0.73899999999999999</v>
      </c>
      <c r="E58" s="79">
        <v>0.61680601021862413</v>
      </c>
      <c r="F58" s="79">
        <v>0.63349900102291712</v>
      </c>
    </row>
    <row r="59" spans="2:8">
      <c r="B59" s="132">
        <v>0.75</v>
      </c>
      <c r="C59" s="77">
        <v>0.76</v>
      </c>
      <c r="D59" s="78">
        <v>0.78500000000000003</v>
      </c>
      <c r="E59" s="79">
        <v>0.65999402503186411</v>
      </c>
      <c r="F59" s="79">
        <v>0.74547095821008869</v>
      </c>
    </row>
    <row r="60" spans="2:8">
      <c r="B60" s="133">
        <v>1</v>
      </c>
      <c r="C60" s="77">
        <v>0.82042413227830879</v>
      </c>
      <c r="D60" s="78">
        <v>0.84591019346097607</v>
      </c>
      <c r="E60" s="79">
        <v>0.72499999999999998</v>
      </c>
      <c r="F60" s="79">
        <v>0.76500000000000001</v>
      </c>
    </row>
    <row r="61" spans="2:8">
      <c r="B61" s="133">
        <v>1.5</v>
      </c>
      <c r="C61" s="77">
        <v>0.83667194483149443</v>
      </c>
      <c r="D61" s="78">
        <v>0.85829877901179863</v>
      </c>
      <c r="E61" s="79">
        <v>0.72899999999999998</v>
      </c>
      <c r="F61" s="79">
        <v>0.77200000000000002</v>
      </c>
    </row>
    <row r="62" spans="2:8">
      <c r="B62" s="133">
        <v>2</v>
      </c>
      <c r="C62" s="77">
        <v>0.8372532323837617</v>
      </c>
      <c r="D62" s="78">
        <v>0.85981896233915533</v>
      </c>
      <c r="E62" s="79">
        <v>0.76900000000000002</v>
      </c>
      <c r="F62" s="79">
        <v>0.78800000000000003</v>
      </c>
    </row>
    <row r="63" spans="2:8">
      <c r="B63" s="133">
        <v>3</v>
      </c>
      <c r="C63" s="77">
        <v>0.86115007250013875</v>
      </c>
      <c r="D63" s="78">
        <v>0.8853931654006012</v>
      </c>
      <c r="E63" s="79">
        <v>0.78100000000000003</v>
      </c>
      <c r="F63" s="79">
        <v>0.8</v>
      </c>
    </row>
    <row r="64" spans="2:8">
      <c r="B64" s="133">
        <v>5</v>
      </c>
      <c r="C64" s="77">
        <v>0.8680851378549671</v>
      </c>
      <c r="D64" s="78">
        <v>0.88471746347170943</v>
      </c>
      <c r="E64" s="79">
        <v>0.82199999999999995</v>
      </c>
      <c r="F64" s="79">
        <v>0.83199999999999996</v>
      </c>
    </row>
    <row r="65" spans="2:6">
      <c r="B65" s="133">
        <v>7.5</v>
      </c>
      <c r="C65" s="77">
        <v>0.8816308516972835</v>
      </c>
      <c r="D65" s="78">
        <v>0.90076424192023319</v>
      </c>
      <c r="E65" s="79">
        <v>0.83099999999999996</v>
      </c>
      <c r="F65" s="79">
        <v>0.83399999999999996</v>
      </c>
    </row>
    <row r="66" spans="2:6">
      <c r="B66" s="134">
        <v>10</v>
      </c>
      <c r="C66" s="77">
        <v>0.89249322588947988</v>
      </c>
      <c r="D66" s="78">
        <v>0.90578215371458703</v>
      </c>
      <c r="E66" s="79">
        <v>0.84</v>
      </c>
      <c r="F66" s="79">
        <v>0.85199999999999998</v>
      </c>
    </row>
    <row r="67" spans="2:6">
      <c r="B67" s="134">
        <v>15</v>
      </c>
      <c r="C67" s="77">
        <v>0.90017018131387261</v>
      </c>
      <c r="D67" s="78">
        <v>0.91365594735253164</v>
      </c>
      <c r="E67" s="79">
        <v>0.84699999999999998</v>
      </c>
      <c r="F67" s="79">
        <v>0.84699999999999998</v>
      </c>
    </row>
    <row r="68" spans="2:6">
      <c r="B68" s="134">
        <v>20</v>
      </c>
      <c r="C68" s="77">
        <v>0.90131642383161503</v>
      </c>
      <c r="D68" s="78">
        <v>0.91703855876708618</v>
      </c>
      <c r="E68" s="79">
        <v>0.86</v>
      </c>
      <c r="F68" s="79">
        <v>0.85499999999999998</v>
      </c>
    </row>
    <row r="69" spans="2:6">
      <c r="B69" s="134">
        <v>25</v>
      </c>
      <c r="C69" s="77">
        <v>0.91731808257644887</v>
      </c>
      <c r="D69" s="78">
        <v>0.92572618695936282</v>
      </c>
      <c r="E69" s="79">
        <v>0.85899999999999999</v>
      </c>
      <c r="F69" s="79">
        <v>0.85799999999999998</v>
      </c>
    </row>
    <row r="70" spans="2:6">
      <c r="B70" s="134">
        <v>30</v>
      </c>
      <c r="C70" s="77">
        <v>0.91554547095743088</v>
      </c>
      <c r="D70" s="78">
        <v>0.92568686127292876</v>
      </c>
      <c r="E70" s="79">
        <v>0.872</v>
      </c>
      <c r="F70" s="79">
        <v>0.86399999999999999</v>
      </c>
    </row>
    <row r="71" spans="2:6">
      <c r="B71" s="134">
        <v>40</v>
      </c>
      <c r="C71" s="77">
        <v>0.91859690442529385</v>
      </c>
      <c r="D71" s="78">
        <v>0.93038427202472329</v>
      </c>
      <c r="E71" s="79">
        <v>0.86</v>
      </c>
      <c r="F71" s="79">
        <v>0.85599999999999998</v>
      </c>
    </row>
    <row r="72" spans="2:6">
      <c r="B72" s="134">
        <v>50</v>
      </c>
      <c r="C72" s="77">
        <v>0.9186797087264843</v>
      </c>
      <c r="D72" s="78">
        <v>0.93007282042103312</v>
      </c>
      <c r="E72" s="79">
        <v>0.85599999999999998</v>
      </c>
      <c r="F72" s="79">
        <v>0.85899999999999999</v>
      </c>
    </row>
    <row r="73" spans="2:6">
      <c r="B73" s="134">
        <v>60</v>
      </c>
      <c r="C73" s="77">
        <v>0.92795964914940365</v>
      </c>
      <c r="D73" s="78">
        <v>0.93483864259270189</v>
      </c>
      <c r="E73" s="79">
        <v>0.873</v>
      </c>
      <c r="F73" s="79">
        <v>0.85799999999999998</v>
      </c>
    </row>
    <row r="74" spans="2:6">
      <c r="B74" s="134">
        <v>75</v>
      </c>
      <c r="C74" s="77">
        <v>0.93010162223624082</v>
      </c>
      <c r="D74" s="78">
        <v>0.935002111035099</v>
      </c>
      <c r="E74" s="79">
        <v>0.877</v>
      </c>
      <c r="F74" s="79">
        <v>0.86799999999999999</v>
      </c>
    </row>
    <row r="75" spans="2:6">
      <c r="B75" s="134">
        <v>100</v>
      </c>
      <c r="C75" s="77">
        <v>0.931870766520981</v>
      </c>
      <c r="D75" s="78">
        <v>0.93774799194289571</v>
      </c>
      <c r="E75" s="79">
        <v>0.878</v>
      </c>
      <c r="F75" s="79">
        <v>0.86299999999999999</v>
      </c>
    </row>
    <row r="76" spans="2:6">
      <c r="B76" s="134">
        <v>125</v>
      </c>
      <c r="C76" s="77">
        <v>0.93103475436004446</v>
      </c>
      <c r="D76" s="78">
        <v>0.93878234893075074</v>
      </c>
      <c r="E76" s="79">
        <v>0.88600000000000001</v>
      </c>
      <c r="F76" s="79">
        <v>0.86799999999999999</v>
      </c>
    </row>
    <row r="77" spans="2:6">
      <c r="B77" s="134">
        <v>150</v>
      </c>
      <c r="C77" s="77">
        <v>0.93468828977681218</v>
      </c>
      <c r="D77" s="78">
        <v>0.94238067041956486</v>
      </c>
      <c r="E77" s="79">
        <v>0.88800000000000001</v>
      </c>
      <c r="F77" s="79">
        <v>0.86899999999999999</v>
      </c>
    </row>
    <row r="78" spans="2:6">
      <c r="B78" s="134">
        <v>200</v>
      </c>
      <c r="C78" s="77">
        <v>0.93607885220014109</v>
      </c>
      <c r="D78" s="78">
        <v>0.9439741469887627</v>
      </c>
      <c r="E78" s="79">
        <v>0.88300000000000001</v>
      </c>
      <c r="F78" s="79">
        <v>0.86699999999999999</v>
      </c>
    </row>
    <row r="79" spans="2:6">
      <c r="B79" s="134">
        <v>300</v>
      </c>
      <c r="C79" s="77">
        <v>0.95299999999999996</v>
      </c>
      <c r="D79" s="78">
        <v>0.95799999999999996</v>
      </c>
      <c r="E79" s="79">
        <v>0.90400000000000003</v>
      </c>
      <c r="F79" s="79">
        <v>0.86799999999999999</v>
      </c>
    </row>
    <row r="80" spans="2:6">
      <c r="B80" s="134">
        <v>350</v>
      </c>
      <c r="C80" s="77">
        <v>0.95399999999999996</v>
      </c>
      <c r="D80" s="78">
        <v>0.95899999999999996</v>
      </c>
      <c r="E80" s="79">
        <v>0.89300000000000002</v>
      </c>
      <c r="F80" s="79">
        <v>0.88800000000000001</v>
      </c>
    </row>
    <row r="81" spans="2:6">
      <c r="B81" s="134">
        <v>400</v>
      </c>
      <c r="C81" s="77">
        <v>0.95299999999999996</v>
      </c>
      <c r="D81" s="78">
        <v>0.95599999999999996</v>
      </c>
      <c r="E81" s="79">
        <v>0.89400000000000002</v>
      </c>
      <c r="F81" s="79">
        <v>0.86899999999999999</v>
      </c>
    </row>
    <row r="82" spans="2:6">
      <c r="B82" s="134">
        <v>450</v>
      </c>
      <c r="C82" s="77">
        <v>0.95</v>
      </c>
      <c r="D82" s="78">
        <v>0.95</v>
      </c>
      <c r="E82" s="79">
        <v>0.9</v>
      </c>
      <c r="F82" s="79">
        <v>0.9</v>
      </c>
    </row>
    <row r="83" spans="2:6">
      <c r="B83" s="134">
        <v>500</v>
      </c>
      <c r="C83" s="77">
        <v>0.95199999999999996</v>
      </c>
      <c r="D83" s="78">
        <v>0.95199999999999996</v>
      </c>
      <c r="E83" s="79">
        <v>0.90500000000000003</v>
      </c>
      <c r="F83" s="79">
        <v>0.90500000000000003</v>
      </c>
    </row>
    <row r="84" spans="2:6">
      <c r="B84" s="135">
        <v>9999</v>
      </c>
      <c r="C84" s="77">
        <v>0.95199999999999996</v>
      </c>
      <c r="D84" s="78">
        <v>0.95199999999999996</v>
      </c>
      <c r="E84" s="79">
        <v>0.90500000000000003</v>
      </c>
      <c r="F84" s="79">
        <v>0.90500000000000003</v>
      </c>
    </row>
  </sheetData>
  <sheetProtection password="CC08" sheet="1" objects="1" scenarios="1" selectLockedCells="1"/>
  <mergeCells count="23">
    <mergeCell ref="G48:H48"/>
    <mergeCell ref="G49:H49"/>
    <mergeCell ref="B52:F52"/>
    <mergeCell ref="C53:D53"/>
    <mergeCell ref="E53:F53"/>
    <mergeCell ref="B25:D25"/>
    <mergeCell ref="B8:E8"/>
    <mergeCell ref="H8:J9"/>
    <mergeCell ref="B10:J10"/>
    <mergeCell ref="L10:M10"/>
    <mergeCell ref="B23:J23"/>
    <mergeCell ref="B12:E12"/>
    <mergeCell ref="B14:J14"/>
    <mergeCell ref="E16:H16"/>
    <mergeCell ref="E18:H18"/>
    <mergeCell ref="N10:P10"/>
    <mergeCell ref="Q10:S10"/>
    <mergeCell ref="B2:J2"/>
    <mergeCell ref="L2:T2"/>
    <mergeCell ref="B4:E4"/>
    <mergeCell ref="B5:E5"/>
    <mergeCell ref="B6:E6"/>
    <mergeCell ref="B7:E7"/>
  </mergeCells>
  <conditionalFormatting sqref="L12:T22">
    <cfRule type="expression" dxfId="28" priority="8">
      <formula>MOD(ROW(),2)</formula>
    </cfRule>
  </conditionalFormatting>
  <conditionalFormatting sqref="C29:C39">
    <cfRule type="expression" dxfId="27" priority="7">
      <formula>$F$25=6</formula>
    </cfRule>
  </conditionalFormatting>
  <conditionalFormatting sqref="C40">
    <cfRule type="expression" dxfId="26" priority="6">
      <formula>$F$25=6</formula>
    </cfRule>
  </conditionalFormatting>
  <conditionalFormatting sqref="D29:D39">
    <cfRule type="expression" dxfId="25" priority="5">
      <formula>$F$25=6</formula>
    </cfRule>
  </conditionalFormatting>
  <conditionalFormatting sqref="D40">
    <cfRule type="cellIs" dxfId="24" priority="1" operator="lessThan">
      <formula>1</formula>
    </cfRule>
    <cfRule type="expression" dxfId="23" priority="4">
      <formula>$F$25=6</formula>
    </cfRule>
  </conditionalFormatting>
  <conditionalFormatting sqref="D28">
    <cfRule type="expression" dxfId="22" priority="3">
      <formula>$F$25=6</formula>
    </cfRule>
  </conditionalFormatting>
  <conditionalFormatting sqref="C28">
    <cfRule type="expression" dxfId="21" priority="2">
      <formula>$F$25=6</formula>
    </cfRule>
  </conditionalFormatting>
  <dataValidations count="1">
    <dataValidation type="list" allowBlank="1" showInputMessage="1" showErrorMessage="1" sqref="E16:H16 E18:H18">
      <formula1>Pump_Control</formula1>
    </dataValidation>
  </dataValidations>
  <pageMargins left="0.7" right="0.7" top="0.75" bottom="0.75" header="0.3" footer="0.3"/>
  <rowBreaks count="1" manualBreakCount="1">
    <brk id="42" min="1" max="20" man="1"/>
  </rowBreaks>
  <colBreaks count="2" manualBreakCount="2">
    <brk id="11" min="1" max="39" man="1"/>
    <brk id="20" min="1" max="40" man="1"/>
  </colBreaks>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 Tables'!$N$3:$N$5</xm:f>
          </x14:formula1>
          <xm:sqref>B25:D25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69"/>
  <sheetViews>
    <sheetView workbookViewId="0">
      <selection activeCell="F4" sqref="F4"/>
    </sheetView>
  </sheetViews>
  <sheetFormatPr defaultRowHeight="12.75"/>
  <cols>
    <col min="1" max="1" width="3" style="14" customWidth="1"/>
    <col min="2" max="2" width="11.28515625" style="14" customWidth="1"/>
    <col min="3" max="3" width="11" style="14" customWidth="1"/>
    <col min="4" max="4" width="8.7109375" style="14" customWidth="1"/>
    <col min="5" max="5" width="7.42578125" style="14" customWidth="1"/>
    <col min="6" max="6" width="11.5703125" style="14" customWidth="1"/>
    <col min="7" max="7" width="3.5703125" style="14" customWidth="1"/>
    <col min="8" max="8" width="10.85546875" style="14" customWidth="1"/>
    <col min="9" max="9" width="5.42578125" style="14" customWidth="1"/>
    <col min="10" max="10" width="22" style="14" customWidth="1"/>
    <col min="11" max="11" width="5.42578125" style="14" customWidth="1"/>
    <col min="12" max="12" width="15.7109375" style="14" customWidth="1"/>
    <col min="13" max="13" width="12" style="14" customWidth="1"/>
    <col min="14" max="14" width="15" style="14" customWidth="1"/>
    <col min="15" max="15" width="9.28515625" style="14" customWidth="1"/>
    <col min="16" max="16" width="10" style="14" customWidth="1"/>
    <col min="17" max="17" width="15" style="14" customWidth="1"/>
    <col min="18" max="18" width="8.28515625" style="14" customWidth="1"/>
    <col min="19" max="19" width="9.5703125" style="14" customWidth="1"/>
    <col min="20" max="16384" width="9.140625" style="14"/>
  </cols>
  <sheetData>
    <row r="1" spans="1:20" ht="13.5" thickBot="1"/>
    <row r="2" spans="1:20" ht="13.5" thickBot="1">
      <c r="A2" s="13"/>
      <c r="B2" s="220" t="s">
        <v>95</v>
      </c>
      <c r="C2" s="221"/>
      <c r="D2" s="221"/>
      <c r="E2" s="221"/>
      <c r="F2" s="221"/>
      <c r="G2" s="221"/>
      <c r="H2" s="221"/>
      <c r="I2" s="221"/>
      <c r="J2" s="222"/>
      <c r="K2" s="7"/>
      <c r="L2" s="250" t="s">
        <v>54</v>
      </c>
      <c r="M2" s="251"/>
      <c r="N2" s="251"/>
      <c r="O2" s="251"/>
      <c r="P2" s="251"/>
      <c r="Q2" s="251"/>
      <c r="R2" s="251"/>
      <c r="S2" s="251"/>
      <c r="T2" s="252"/>
    </row>
    <row r="3" spans="1:20">
      <c r="A3" s="13"/>
      <c r="B3" s="34"/>
      <c r="C3" s="34"/>
      <c r="D3" s="34"/>
      <c r="E3" s="34"/>
      <c r="F3" s="34"/>
      <c r="G3" s="34"/>
      <c r="H3" s="34"/>
      <c r="I3" s="34"/>
      <c r="J3" s="34"/>
      <c r="K3" s="7"/>
      <c r="L3" s="7"/>
      <c r="M3" s="7"/>
      <c r="N3" s="7"/>
      <c r="O3" s="7"/>
      <c r="P3" s="7"/>
      <c r="Q3" s="7"/>
      <c r="R3" s="7"/>
      <c r="S3" s="7"/>
      <c r="T3" s="7"/>
    </row>
    <row r="4" spans="1:20">
      <c r="A4" s="13"/>
      <c r="B4" s="247" t="s">
        <v>73</v>
      </c>
      <c r="C4" s="246"/>
      <c r="D4" s="246"/>
      <c r="E4" s="246"/>
      <c r="F4" s="66">
        <v>100</v>
      </c>
      <c r="G4" s="35" t="s">
        <v>7</v>
      </c>
      <c r="H4" s="36"/>
      <c r="I4" s="37"/>
      <c r="J4" s="38"/>
      <c r="K4" s="8"/>
    </row>
    <row r="5" spans="1:20">
      <c r="A5" s="13"/>
      <c r="B5" s="247" t="s">
        <v>74</v>
      </c>
      <c r="C5" s="246"/>
      <c r="D5" s="246"/>
      <c r="E5" s="246"/>
      <c r="F5" s="82">
        <v>0.95</v>
      </c>
      <c r="G5" s="35" t="s">
        <v>52</v>
      </c>
      <c r="H5" s="36"/>
      <c r="I5" s="39"/>
      <c r="J5" s="38"/>
      <c r="K5" s="15"/>
      <c r="L5" s="14" t="s">
        <v>157</v>
      </c>
      <c r="N5" s="32">
        <f>T13</f>
        <v>66960.748020638246</v>
      </c>
    </row>
    <row r="6" spans="1:20">
      <c r="A6" s="13"/>
      <c r="B6" s="247" t="s">
        <v>93</v>
      </c>
      <c r="C6" s="246"/>
      <c r="D6" s="246"/>
      <c r="E6" s="246"/>
      <c r="F6" s="82">
        <v>0.8</v>
      </c>
      <c r="G6" s="35" t="s">
        <v>67</v>
      </c>
      <c r="H6" s="36"/>
      <c r="I6" s="39"/>
      <c r="J6" s="38"/>
      <c r="K6" s="9"/>
      <c r="L6" s="14" t="s">
        <v>57</v>
      </c>
      <c r="N6" s="33">
        <f>N5/P13</f>
        <v>0.27840093673869359</v>
      </c>
    </row>
    <row r="7" spans="1:20">
      <c r="A7" s="13"/>
      <c r="B7" s="246" t="s">
        <v>128</v>
      </c>
      <c r="C7" s="246"/>
      <c r="D7" s="246"/>
      <c r="E7" s="253"/>
      <c r="F7" s="52">
        <f>F4*F6/F5*0.7467</f>
        <v>62.88000000000001</v>
      </c>
      <c r="G7" s="35" t="s">
        <v>45</v>
      </c>
      <c r="H7" s="36"/>
      <c r="I7" s="40"/>
      <c r="J7" s="38"/>
      <c r="K7" s="8"/>
    </row>
    <row r="8" spans="1:20" ht="13.5" customHeight="1">
      <c r="A8" s="13"/>
      <c r="B8" s="246" t="s">
        <v>47</v>
      </c>
      <c r="C8" s="246"/>
      <c r="D8" s="246"/>
      <c r="E8" s="246"/>
      <c r="F8" s="66"/>
      <c r="G8" s="41" t="s">
        <v>56</v>
      </c>
      <c r="H8" s="257" t="s">
        <v>72</v>
      </c>
      <c r="I8" s="257"/>
      <c r="J8" s="257"/>
      <c r="K8" s="8"/>
    </row>
    <row r="9" spans="1:20" ht="13.5" customHeight="1" thickBot="1">
      <c r="A9" s="13"/>
      <c r="B9" s="80"/>
      <c r="C9" s="80"/>
      <c r="D9" s="80"/>
      <c r="E9" s="80"/>
      <c r="F9" s="80"/>
      <c r="G9" s="41"/>
      <c r="H9" s="258"/>
      <c r="I9" s="258"/>
      <c r="J9" s="258"/>
      <c r="K9" s="8"/>
    </row>
    <row r="10" spans="1:20" ht="13.5" thickBot="1">
      <c r="A10" s="13"/>
      <c r="B10" s="220" t="s">
        <v>53</v>
      </c>
      <c r="C10" s="221"/>
      <c r="D10" s="221"/>
      <c r="E10" s="221"/>
      <c r="F10" s="221"/>
      <c r="G10" s="221"/>
      <c r="H10" s="221"/>
      <c r="I10" s="221"/>
      <c r="J10" s="222"/>
      <c r="L10" s="241" t="s">
        <v>63</v>
      </c>
      <c r="M10" s="242"/>
      <c r="N10" s="241" t="s">
        <v>60</v>
      </c>
      <c r="O10" s="243"/>
      <c r="P10" s="242"/>
      <c r="Q10" s="241" t="s">
        <v>65</v>
      </c>
      <c r="R10" s="243"/>
      <c r="S10" s="242"/>
      <c r="T10" s="28" t="s">
        <v>59</v>
      </c>
    </row>
    <row r="11" spans="1:20" ht="13.5" thickBot="1">
      <c r="A11" s="13"/>
      <c r="B11" s="42"/>
      <c r="C11" s="38"/>
      <c r="D11" s="38"/>
      <c r="E11" s="38"/>
      <c r="F11" s="38"/>
      <c r="G11" s="38"/>
      <c r="H11" s="38"/>
      <c r="I11" s="38"/>
      <c r="J11" s="38"/>
      <c r="K11" s="8"/>
      <c r="L11" s="29" t="s">
        <v>144</v>
      </c>
      <c r="M11" s="30" t="s">
        <v>64</v>
      </c>
      <c r="N11" s="29" t="s">
        <v>62</v>
      </c>
      <c r="O11" s="31" t="s">
        <v>45</v>
      </c>
      <c r="P11" s="30" t="s">
        <v>55</v>
      </c>
      <c r="Q11" s="29" t="s">
        <v>62</v>
      </c>
      <c r="R11" s="31" t="s">
        <v>45</v>
      </c>
      <c r="S11" s="30" t="s">
        <v>55</v>
      </c>
      <c r="T11" s="30" t="s">
        <v>55</v>
      </c>
    </row>
    <row r="12" spans="1:20" ht="13.5" thickTop="1">
      <c r="A12" s="13"/>
      <c r="B12" s="247" t="s">
        <v>46</v>
      </c>
      <c r="C12" s="247"/>
      <c r="D12" s="247"/>
      <c r="E12" s="248"/>
      <c r="F12" s="67">
        <v>4000</v>
      </c>
      <c r="G12" s="36" t="s">
        <v>0</v>
      </c>
      <c r="H12" s="36"/>
      <c r="I12" s="43"/>
      <c r="J12" s="38"/>
      <c r="K12" s="8"/>
      <c r="L12" s="148">
        <f>IF(J22=1,J24,IF(J22=2,F26/100,""))</f>
        <v>0.84988344906500002</v>
      </c>
      <c r="M12" s="149">
        <f>F12</f>
        <v>4000</v>
      </c>
      <c r="N12" s="148">
        <f xml:space="preserve"> (-19*L12^2 + 63.7*L12 + 55.2124)/100</f>
        <v>0.95626240042542721</v>
      </c>
      <c r="O12" s="150">
        <f>IF($F$8="",F$7*N12,F$8)</f>
        <v>60.129779738750869</v>
      </c>
      <c r="P12" s="151">
        <f>O12*M12</f>
        <v>240519.11895500348</v>
      </c>
      <c r="Q12" s="148">
        <f>(176.2*L12^2 - 100.853*L12 + 27.44751)/100</f>
        <v>0.69003805237899651</v>
      </c>
      <c r="R12" s="152">
        <f>Q12*IF($F$8="",$F$7,$F$8)</f>
        <v>43.389592733591307</v>
      </c>
      <c r="S12" s="151">
        <f>R12*M12</f>
        <v>173558.37093436523</v>
      </c>
      <c r="T12" s="151">
        <f>P12-S12</f>
        <v>66960.748020638246</v>
      </c>
    </row>
    <row r="13" spans="1:20" ht="13.5" thickBot="1">
      <c r="A13" s="13"/>
      <c r="B13" s="44"/>
      <c r="C13" s="44"/>
      <c r="D13" s="44"/>
      <c r="E13" s="44"/>
      <c r="F13" s="44"/>
      <c r="G13" s="44"/>
      <c r="H13" s="44"/>
      <c r="I13" s="44"/>
      <c r="J13" s="38"/>
      <c r="K13" s="8"/>
      <c r="L13" s="22" t="s">
        <v>29</v>
      </c>
      <c r="M13" s="23">
        <f>SUM(M12:M12)</f>
        <v>4000</v>
      </c>
      <c r="N13" s="24"/>
      <c r="O13" s="24"/>
      <c r="P13" s="25">
        <f>SUM(P12:P12)</f>
        <v>240519.11895500348</v>
      </c>
      <c r="Q13" s="23"/>
      <c r="R13" s="25"/>
      <c r="S13" s="25">
        <f>SUM(S12:S12)</f>
        <v>173558.37093436523</v>
      </c>
      <c r="T13" s="26">
        <f>SUM(T12:T12)</f>
        <v>66960.748020638246</v>
      </c>
    </row>
    <row r="14" spans="1:20" ht="15.75" thickBot="1">
      <c r="A14" s="13"/>
      <c r="B14" s="270" t="s">
        <v>17</v>
      </c>
      <c r="C14" s="271"/>
      <c r="D14" s="271"/>
      <c r="E14" s="271"/>
      <c r="F14" s="271"/>
      <c r="G14" s="271"/>
      <c r="H14" s="271"/>
      <c r="I14" s="271"/>
      <c r="J14" s="272"/>
      <c r="K14" s="4"/>
    </row>
    <row r="15" spans="1:20">
      <c r="A15" s="13"/>
      <c r="B15" s="45"/>
      <c r="C15" s="45"/>
      <c r="D15" s="45"/>
      <c r="E15" s="46"/>
      <c r="F15" s="46"/>
      <c r="G15" s="46"/>
      <c r="H15" s="46"/>
      <c r="I15" s="46"/>
      <c r="J15" s="56" t="s">
        <v>51</v>
      </c>
      <c r="K15" s="1"/>
    </row>
    <row r="16" spans="1:20">
      <c r="A16" s="13"/>
      <c r="B16" s="48" t="s">
        <v>49</v>
      </c>
      <c r="C16" s="48"/>
      <c r="D16" s="49"/>
      <c r="E16" s="273" t="s">
        <v>14</v>
      </c>
      <c r="F16" s="274"/>
      <c r="G16" s="274"/>
      <c r="H16" s="275"/>
      <c r="I16" s="44"/>
      <c r="J16" s="50">
        <v>6</v>
      </c>
      <c r="K16" s="2"/>
    </row>
    <row r="17" spans="1:11">
      <c r="A17" s="13"/>
      <c r="B17" s="46"/>
      <c r="C17" s="46"/>
      <c r="D17" s="46"/>
      <c r="E17" s="46"/>
      <c r="F17" s="46"/>
      <c r="G17" s="46"/>
      <c r="H17" s="46"/>
      <c r="I17" s="46"/>
      <c r="J17" s="46"/>
      <c r="K17" s="1"/>
    </row>
    <row r="18" spans="1:11">
      <c r="A18" s="13"/>
      <c r="B18" s="47" t="s">
        <v>50</v>
      </c>
      <c r="C18" s="44"/>
      <c r="D18" s="51"/>
      <c r="E18" s="262" t="s">
        <v>13</v>
      </c>
      <c r="F18" s="263"/>
      <c r="G18" s="263"/>
      <c r="H18" s="264"/>
      <c r="I18" s="44"/>
      <c r="J18" s="50">
        <f>VLOOKUP(E18,'Lookup Tables'!$E$3:$F$7,2,FALSE)</f>
        <v>2</v>
      </c>
      <c r="K18" s="2"/>
    </row>
    <row r="19" spans="1:11" ht="13.5" thickBot="1">
      <c r="B19" s="44"/>
      <c r="C19" s="44"/>
      <c r="D19" s="44"/>
      <c r="E19" s="44"/>
      <c r="F19" s="44"/>
      <c r="G19" s="44"/>
      <c r="H19" s="44"/>
      <c r="I19" s="44"/>
      <c r="J19" s="44"/>
      <c r="K19" s="2"/>
    </row>
    <row r="20" spans="1:11" ht="13.5" thickBot="1">
      <c r="A20" s="13"/>
      <c r="B20" s="270" t="s">
        <v>31</v>
      </c>
      <c r="C20" s="271"/>
      <c r="D20" s="271"/>
      <c r="E20" s="271"/>
      <c r="F20" s="271"/>
      <c r="G20" s="271"/>
      <c r="H20" s="271"/>
      <c r="I20" s="271"/>
      <c r="J20" s="272"/>
      <c r="K20" s="3"/>
    </row>
    <row r="21" spans="1:11">
      <c r="A21" s="13"/>
      <c r="B21" s="83"/>
      <c r="C21" s="83"/>
      <c r="D21" s="83"/>
      <c r="E21" s="83"/>
      <c r="F21" s="83"/>
      <c r="G21" s="83"/>
      <c r="H21" s="83"/>
      <c r="I21" s="83"/>
      <c r="J21" s="56" t="s">
        <v>51</v>
      </c>
      <c r="K21" s="3"/>
    </row>
    <row r="22" spans="1:11" ht="15.75" customHeight="1">
      <c r="A22" s="13"/>
      <c r="B22" s="47" t="s">
        <v>92</v>
      </c>
      <c r="C22" s="83"/>
      <c r="D22" s="83"/>
      <c r="E22" s="273" t="s">
        <v>33</v>
      </c>
      <c r="F22" s="274"/>
      <c r="G22" s="274"/>
      <c r="H22" s="275"/>
      <c r="I22" s="83"/>
      <c r="J22" s="50">
        <f>VLOOKUP(E22,'Lookup Tables'!$K$3:$L$4,2,FALSE)</f>
        <v>1</v>
      </c>
      <c r="K22" s="3"/>
    </row>
    <row r="23" spans="1:11" ht="15.75" customHeight="1">
      <c r="A23" s="13"/>
      <c r="B23" s="83"/>
      <c r="C23" s="84"/>
      <c r="D23" s="83"/>
      <c r="E23" s="85"/>
      <c r="F23" s="85"/>
      <c r="G23" s="85"/>
      <c r="H23" s="85"/>
      <c r="I23" s="83"/>
      <c r="J23" s="88" t="s">
        <v>91</v>
      </c>
      <c r="K23" s="4"/>
    </row>
    <row r="24" spans="1:11" ht="13.5" customHeight="1">
      <c r="A24" s="13"/>
      <c r="B24" s="247" t="s">
        <v>127</v>
      </c>
      <c r="C24" s="246"/>
      <c r="D24" s="246"/>
      <c r="E24" s="246"/>
      <c r="F24" s="66">
        <v>50</v>
      </c>
      <c r="G24" s="276" t="s">
        <v>8</v>
      </c>
      <c r="H24" s="277"/>
      <c r="I24" s="86"/>
      <c r="J24" s="87">
        <f>( -0.00000233100233*F24^4 + 0.000663170163*F24^3 - 0.0726223776*F24^2 + 3.95244755*F24 + 0.594405594)/100</f>
        <v>0.84988344906500002</v>
      </c>
    </row>
    <row r="25" spans="1:11" ht="4.5" customHeight="1">
      <c r="B25" s="44"/>
      <c r="C25" s="44"/>
      <c r="D25" s="44"/>
      <c r="E25" s="44"/>
      <c r="F25" s="44"/>
      <c r="G25" s="44"/>
      <c r="H25" s="44"/>
      <c r="I25" s="44"/>
      <c r="J25" s="44"/>
      <c r="K25" s="3"/>
    </row>
    <row r="26" spans="1:11">
      <c r="B26" s="247" t="s">
        <v>94</v>
      </c>
      <c r="C26" s="246"/>
      <c r="D26" s="246"/>
      <c r="E26" s="246"/>
      <c r="F26" s="66">
        <v>80</v>
      </c>
      <c r="G26" s="276" t="s">
        <v>8</v>
      </c>
      <c r="H26" s="277"/>
      <c r="I26" s="89" t="s">
        <v>113</v>
      </c>
      <c r="J26" s="83"/>
      <c r="K26" s="3"/>
    </row>
    <row r="27" spans="1:11">
      <c r="B27" s="44"/>
      <c r="C27" s="44"/>
      <c r="D27" s="44"/>
      <c r="E27" s="44"/>
      <c r="F27" s="44"/>
      <c r="G27" s="44"/>
      <c r="H27" s="44"/>
      <c r="I27" s="44"/>
      <c r="J27" s="44"/>
    </row>
    <row r="29" spans="1:11">
      <c r="B29" s="72" t="s">
        <v>79</v>
      </c>
      <c r="C29" s="68"/>
      <c r="D29" s="68"/>
      <c r="E29" s="68"/>
      <c r="F29" s="68"/>
      <c r="G29" s="68"/>
    </row>
    <row r="30" spans="1:11">
      <c r="B30" s="69" t="s">
        <v>45</v>
      </c>
      <c r="C30" s="70" t="s">
        <v>76</v>
      </c>
      <c r="D30" s="70" t="s">
        <v>77</v>
      </c>
      <c r="E30" s="70" t="s">
        <v>83</v>
      </c>
      <c r="F30" s="71" t="s">
        <v>78</v>
      </c>
      <c r="G30" s="68"/>
    </row>
    <row r="31" spans="1:11">
      <c r="B31" s="75">
        <f>C31*D31*F31*E31^0.5/1000</f>
        <v>5.7365522746681208</v>
      </c>
      <c r="C31" s="142">
        <v>8</v>
      </c>
      <c r="D31" s="143">
        <v>460</v>
      </c>
      <c r="E31" s="143">
        <v>3</v>
      </c>
      <c r="F31" s="144">
        <v>0.9</v>
      </c>
      <c r="G31" s="68"/>
    </row>
    <row r="32" spans="1:11" ht="14.25">
      <c r="B32" s="72" t="s">
        <v>80</v>
      </c>
      <c r="C32" s="73"/>
      <c r="D32" s="73"/>
      <c r="E32" s="73"/>
      <c r="F32" s="73"/>
      <c r="G32" s="73"/>
    </row>
    <row r="33" spans="2:8">
      <c r="B33" s="69" t="s">
        <v>45</v>
      </c>
      <c r="C33" s="81" t="s">
        <v>81</v>
      </c>
      <c r="D33" s="81" t="s">
        <v>77</v>
      </c>
      <c r="E33" s="81" t="s">
        <v>83</v>
      </c>
      <c r="F33" s="81" t="s">
        <v>78</v>
      </c>
      <c r="G33" s="226" t="s">
        <v>82</v>
      </c>
      <c r="H33" s="227"/>
    </row>
    <row r="34" spans="2:8">
      <c r="B34" s="76">
        <f>G34*C34*D34*F34*E34^0.5/1000</f>
        <v>5.7365522746681208</v>
      </c>
      <c r="C34" s="145">
        <v>10</v>
      </c>
      <c r="D34" s="146">
        <v>460</v>
      </c>
      <c r="E34" s="146">
        <v>3</v>
      </c>
      <c r="F34" s="147">
        <v>0.9</v>
      </c>
      <c r="G34" s="228">
        <v>0.8</v>
      </c>
      <c r="H34" s="229"/>
    </row>
    <row r="37" spans="2:8">
      <c r="B37" s="265" t="s">
        <v>84</v>
      </c>
      <c r="C37" s="266"/>
      <c r="D37" s="266"/>
      <c r="E37" s="266"/>
      <c r="F37" s="267"/>
    </row>
    <row r="38" spans="2:8">
      <c r="B38" s="131"/>
      <c r="C38" s="268" t="s">
        <v>85</v>
      </c>
      <c r="D38" s="269"/>
      <c r="E38" s="268" t="s">
        <v>86</v>
      </c>
      <c r="F38" s="269"/>
    </row>
    <row r="39" spans="2:8">
      <c r="B39" s="136" t="s">
        <v>87</v>
      </c>
      <c r="C39" s="137" t="s">
        <v>88</v>
      </c>
      <c r="D39" s="137" t="s">
        <v>89</v>
      </c>
      <c r="E39" s="137" t="s">
        <v>88</v>
      </c>
      <c r="F39" s="137" t="s">
        <v>89</v>
      </c>
    </row>
    <row r="40" spans="2:8">
      <c r="B40" s="132">
        <v>1E-3</v>
      </c>
      <c r="C40" s="77">
        <v>0.5</v>
      </c>
      <c r="D40" s="78">
        <v>0.55000000000000004</v>
      </c>
      <c r="E40" s="79">
        <v>0.5</v>
      </c>
      <c r="F40" s="79">
        <v>0.55000000000000004</v>
      </c>
    </row>
    <row r="41" spans="2:8">
      <c r="B41" s="132">
        <v>0.25</v>
      </c>
      <c r="C41" s="77">
        <v>0.627</v>
      </c>
      <c r="D41" s="78">
        <v>0.67500000000000004</v>
      </c>
      <c r="E41" s="79">
        <v>0.53332850507625384</v>
      </c>
      <c r="F41" s="79">
        <v>0.57797007624189589</v>
      </c>
    </row>
    <row r="42" spans="2:8">
      <c r="B42" s="132">
        <v>0.33</v>
      </c>
      <c r="C42" s="77">
        <v>0.66</v>
      </c>
      <c r="D42" s="78">
        <v>0.68799999999999994</v>
      </c>
      <c r="E42" s="79">
        <v>0.62420768234124757</v>
      </c>
      <c r="F42" s="79">
        <v>0.64157558712399831</v>
      </c>
    </row>
    <row r="43" spans="2:8">
      <c r="B43" s="132">
        <v>0.5</v>
      </c>
      <c r="C43" s="77">
        <v>0.69</v>
      </c>
      <c r="D43" s="78">
        <v>0.73899999999999999</v>
      </c>
      <c r="E43" s="79">
        <v>0.61680601021862413</v>
      </c>
      <c r="F43" s="79">
        <v>0.63349900102291712</v>
      </c>
    </row>
    <row r="44" spans="2:8">
      <c r="B44" s="132">
        <v>0.75</v>
      </c>
      <c r="C44" s="77">
        <v>0.76</v>
      </c>
      <c r="D44" s="78">
        <v>0.78500000000000003</v>
      </c>
      <c r="E44" s="79">
        <v>0.65999402503186411</v>
      </c>
      <c r="F44" s="79">
        <v>0.74547095821008869</v>
      </c>
    </row>
    <row r="45" spans="2:8">
      <c r="B45" s="133">
        <v>1</v>
      </c>
      <c r="C45" s="77">
        <v>0.82042413227830879</v>
      </c>
      <c r="D45" s="78">
        <v>0.84591019346097607</v>
      </c>
      <c r="E45" s="79">
        <v>0.72499999999999998</v>
      </c>
      <c r="F45" s="79">
        <v>0.76500000000000001</v>
      </c>
    </row>
    <row r="46" spans="2:8">
      <c r="B46" s="133">
        <v>1.5</v>
      </c>
      <c r="C46" s="77">
        <v>0.83667194483149443</v>
      </c>
      <c r="D46" s="78">
        <v>0.85829877901179863</v>
      </c>
      <c r="E46" s="79">
        <v>0.72899999999999998</v>
      </c>
      <c r="F46" s="79">
        <v>0.77200000000000002</v>
      </c>
    </row>
    <row r="47" spans="2:8">
      <c r="B47" s="133">
        <v>2</v>
      </c>
      <c r="C47" s="77">
        <v>0.8372532323837617</v>
      </c>
      <c r="D47" s="78">
        <v>0.85981896233915533</v>
      </c>
      <c r="E47" s="79">
        <v>0.76900000000000002</v>
      </c>
      <c r="F47" s="79">
        <v>0.78800000000000003</v>
      </c>
    </row>
    <row r="48" spans="2:8">
      <c r="B48" s="133">
        <v>3</v>
      </c>
      <c r="C48" s="77">
        <v>0.86115007250013875</v>
      </c>
      <c r="D48" s="78">
        <v>0.8853931654006012</v>
      </c>
      <c r="E48" s="79">
        <v>0.78100000000000003</v>
      </c>
      <c r="F48" s="79">
        <v>0.8</v>
      </c>
    </row>
    <row r="49" spans="2:6">
      <c r="B49" s="133">
        <v>5</v>
      </c>
      <c r="C49" s="77">
        <v>0.8680851378549671</v>
      </c>
      <c r="D49" s="78">
        <v>0.88471746347170943</v>
      </c>
      <c r="E49" s="79">
        <v>0.82199999999999995</v>
      </c>
      <c r="F49" s="79">
        <v>0.83199999999999996</v>
      </c>
    </row>
    <row r="50" spans="2:6">
      <c r="B50" s="133">
        <v>7.5</v>
      </c>
      <c r="C50" s="77">
        <v>0.8816308516972835</v>
      </c>
      <c r="D50" s="78">
        <v>0.90076424192023319</v>
      </c>
      <c r="E50" s="79">
        <v>0.83099999999999996</v>
      </c>
      <c r="F50" s="79">
        <v>0.83399999999999996</v>
      </c>
    </row>
    <row r="51" spans="2:6">
      <c r="B51" s="134">
        <v>10</v>
      </c>
      <c r="C51" s="77">
        <v>0.89249322588947988</v>
      </c>
      <c r="D51" s="78">
        <v>0.90578215371458703</v>
      </c>
      <c r="E51" s="79">
        <v>0.84</v>
      </c>
      <c r="F51" s="79">
        <v>0.85199999999999998</v>
      </c>
    </row>
    <row r="52" spans="2:6">
      <c r="B52" s="134">
        <v>15</v>
      </c>
      <c r="C52" s="77">
        <v>0.90017018131387261</v>
      </c>
      <c r="D52" s="78">
        <v>0.91365594735253164</v>
      </c>
      <c r="E52" s="79">
        <v>0.84699999999999998</v>
      </c>
      <c r="F52" s="79">
        <v>0.84699999999999998</v>
      </c>
    </row>
    <row r="53" spans="2:6">
      <c r="B53" s="134">
        <v>20</v>
      </c>
      <c r="C53" s="77">
        <v>0.90131642383161503</v>
      </c>
      <c r="D53" s="78">
        <v>0.91703855876708618</v>
      </c>
      <c r="E53" s="79">
        <v>0.86</v>
      </c>
      <c r="F53" s="79">
        <v>0.85499999999999998</v>
      </c>
    </row>
    <row r="54" spans="2:6">
      <c r="B54" s="134">
        <v>25</v>
      </c>
      <c r="C54" s="77">
        <v>0.91731808257644887</v>
      </c>
      <c r="D54" s="78">
        <v>0.92572618695936282</v>
      </c>
      <c r="E54" s="79">
        <v>0.85899999999999999</v>
      </c>
      <c r="F54" s="79">
        <v>0.85799999999999998</v>
      </c>
    </row>
    <row r="55" spans="2:6">
      <c r="B55" s="134">
        <v>30</v>
      </c>
      <c r="C55" s="77">
        <v>0.91554547095743088</v>
      </c>
      <c r="D55" s="78">
        <v>0.92568686127292876</v>
      </c>
      <c r="E55" s="79">
        <v>0.872</v>
      </c>
      <c r="F55" s="79">
        <v>0.86399999999999999</v>
      </c>
    </row>
    <row r="56" spans="2:6">
      <c r="B56" s="134">
        <v>40</v>
      </c>
      <c r="C56" s="77">
        <v>0.91859690442529385</v>
      </c>
      <c r="D56" s="78">
        <v>0.93038427202472329</v>
      </c>
      <c r="E56" s="79">
        <v>0.86</v>
      </c>
      <c r="F56" s="79">
        <v>0.85599999999999998</v>
      </c>
    </row>
    <row r="57" spans="2:6">
      <c r="B57" s="134">
        <v>50</v>
      </c>
      <c r="C57" s="77">
        <v>0.9186797087264843</v>
      </c>
      <c r="D57" s="78">
        <v>0.93007282042103312</v>
      </c>
      <c r="E57" s="79">
        <v>0.85599999999999998</v>
      </c>
      <c r="F57" s="79">
        <v>0.85899999999999999</v>
      </c>
    </row>
    <row r="58" spans="2:6">
      <c r="B58" s="134">
        <v>60</v>
      </c>
      <c r="C58" s="77">
        <v>0.92795964914940365</v>
      </c>
      <c r="D58" s="78">
        <v>0.93483864259270189</v>
      </c>
      <c r="E58" s="79">
        <v>0.873</v>
      </c>
      <c r="F58" s="79">
        <v>0.85799999999999998</v>
      </c>
    </row>
    <row r="59" spans="2:6">
      <c r="B59" s="134">
        <v>75</v>
      </c>
      <c r="C59" s="77">
        <v>0.93010162223624082</v>
      </c>
      <c r="D59" s="78">
        <v>0.935002111035099</v>
      </c>
      <c r="E59" s="79">
        <v>0.877</v>
      </c>
      <c r="F59" s="79">
        <v>0.86799999999999999</v>
      </c>
    </row>
    <row r="60" spans="2:6">
      <c r="B60" s="134">
        <v>100</v>
      </c>
      <c r="C60" s="77">
        <v>0.931870766520981</v>
      </c>
      <c r="D60" s="78">
        <v>0.93774799194289571</v>
      </c>
      <c r="E60" s="79">
        <v>0.878</v>
      </c>
      <c r="F60" s="79">
        <v>0.86299999999999999</v>
      </c>
    </row>
    <row r="61" spans="2:6">
      <c r="B61" s="134">
        <v>125</v>
      </c>
      <c r="C61" s="77">
        <v>0.93103475436004446</v>
      </c>
      <c r="D61" s="78">
        <v>0.93878234893075074</v>
      </c>
      <c r="E61" s="79">
        <v>0.88600000000000001</v>
      </c>
      <c r="F61" s="79">
        <v>0.86799999999999999</v>
      </c>
    </row>
    <row r="62" spans="2:6">
      <c r="B62" s="134">
        <v>150</v>
      </c>
      <c r="C62" s="77">
        <v>0.93468828977681218</v>
      </c>
      <c r="D62" s="78">
        <v>0.94238067041956486</v>
      </c>
      <c r="E62" s="79">
        <v>0.88800000000000001</v>
      </c>
      <c r="F62" s="79">
        <v>0.86899999999999999</v>
      </c>
    </row>
    <row r="63" spans="2:6">
      <c r="B63" s="134">
        <v>200</v>
      </c>
      <c r="C63" s="77">
        <v>0.93607885220014109</v>
      </c>
      <c r="D63" s="78">
        <v>0.9439741469887627</v>
      </c>
      <c r="E63" s="79">
        <v>0.88300000000000001</v>
      </c>
      <c r="F63" s="79">
        <v>0.86699999999999999</v>
      </c>
    </row>
    <row r="64" spans="2:6">
      <c r="B64" s="134">
        <v>300</v>
      </c>
      <c r="C64" s="77">
        <v>0.95299999999999996</v>
      </c>
      <c r="D64" s="78">
        <v>0.95799999999999996</v>
      </c>
      <c r="E64" s="79">
        <v>0.90400000000000003</v>
      </c>
      <c r="F64" s="79">
        <v>0.86799999999999999</v>
      </c>
    </row>
    <row r="65" spans="2:6">
      <c r="B65" s="134">
        <v>350</v>
      </c>
      <c r="C65" s="77">
        <v>0.95399999999999996</v>
      </c>
      <c r="D65" s="78">
        <v>0.95899999999999996</v>
      </c>
      <c r="E65" s="79">
        <v>0.89300000000000002</v>
      </c>
      <c r="F65" s="79">
        <v>0.88800000000000001</v>
      </c>
    </row>
    <row r="66" spans="2:6">
      <c r="B66" s="134">
        <v>400</v>
      </c>
      <c r="C66" s="77">
        <v>0.95299999999999996</v>
      </c>
      <c r="D66" s="78">
        <v>0.95599999999999996</v>
      </c>
      <c r="E66" s="79">
        <v>0.89400000000000002</v>
      </c>
      <c r="F66" s="79">
        <v>0.86899999999999999</v>
      </c>
    </row>
    <row r="67" spans="2:6">
      <c r="B67" s="134">
        <v>450</v>
      </c>
      <c r="C67" s="77">
        <v>0.95</v>
      </c>
      <c r="D67" s="78">
        <v>0.95</v>
      </c>
      <c r="E67" s="79">
        <v>0.9</v>
      </c>
      <c r="F67" s="79">
        <v>0.9</v>
      </c>
    </row>
    <row r="68" spans="2:6">
      <c r="B68" s="134">
        <v>500</v>
      </c>
      <c r="C68" s="77">
        <v>0.95199999999999996</v>
      </c>
      <c r="D68" s="78">
        <v>0.95199999999999996</v>
      </c>
      <c r="E68" s="79">
        <v>0.90500000000000003</v>
      </c>
      <c r="F68" s="79">
        <v>0.90500000000000003</v>
      </c>
    </row>
    <row r="69" spans="2:6">
      <c r="B69" s="135">
        <v>9999</v>
      </c>
      <c r="C69" s="77">
        <v>0.95199999999999996</v>
      </c>
      <c r="D69" s="78">
        <v>0.95199999999999996</v>
      </c>
      <c r="E69" s="79">
        <v>0.90500000000000003</v>
      </c>
      <c r="F69" s="79">
        <v>0.90500000000000003</v>
      </c>
    </row>
  </sheetData>
  <sheetProtection password="CC08" sheet="1" objects="1" scenarios="1" selectLockedCells="1"/>
  <mergeCells count="27">
    <mergeCell ref="G33:H33"/>
    <mergeCell ref="G34:H34"/>
    <mergeCell ref="B37:F37"/>
    <mergeCell ref="C38:D38"/>
    <mergeCell ref="E38:F38"/>
    <mergeCell ref="B20:J20"/>
    <mergeCell ref="E22:H22"/>
    <mergeCell ref="G24:H24"/>
    <mergeCell ref="G26:H26"/>
    <mergeCell ref="B24:E24"/>
    <mergeCell ref="B26:E26"/>
    <mergeCell ref="B12:E12"/>
    <mergeCell ref="B14:J14"/>
    <mergeCell ref="E16:H16"/>
    <mergeCell ref="E18:H18"/>
    <mergeCell ref="B8:E8"/>
    <mergeCell ref="H8:J9"/>
    <mergeCell ref="B10:J10"/>
    <mergeCell ref="L10:M10"/>
    <mergeCell ref="N10:P10"/>
    <mergeCell ref="Q10:S10"/>
    <mergeCell ref="B2:J2"/>
    <mergeCell ref="L2:T2"/>
    <mergeCell ref="B4:E4"/>
    <mergeCell ref="B5:E5"/>
    <mergeCell ref="B6:E6"/>
    <mergeCell ref="B7:E7"/>
  </mergeCells>
  <conditionalFormatting sqref="L12:T12">
    <cfRule type="expression" dxfId="20" priority="13">
      <formula>MOD(ROW(),2)</formula>
    </cfRule>
  </conditionalFormatting>
  <conditionalFormatting sqref="B24:J24">
    <cfRule type="expression" dxfId="19" priority="5">
      <formula>$J$22&lt;&gt;1</formula>
    </cfRule>
  </conditionalFormatting>
  <conditionalFormatting sqref="B26:J26">
    <cfRule type="expression" dxfId="18" priority="4">
      <formula>$J$22&lt;&gt;2</formula>
    </cfRule>
  </conditionalFormatting>
  <conditionalFormatting sqref="J23">
    <cfRule type="expression" dxfId="17" priority="3">
      <formula>$J$22&lt;&gt;1</formula>
    </cfRule>
  </conditionalFormatting>
  <dataValidations count="1">
    <dataValidation type="list" allowBlank="1" showInputMessage="1" showErrorMessage="1" sqref="E22:H22">
      <formula1>Flow_Control</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O19"/>
  <sheetViews>
    <sheetView workbookViewId="0">
      <selection activeCell="F4" sqref="F4"/>
    </sheetView>
  </sheetViews>
  <sheetFormatPr defaultRowHeight="14.25"/>
  <cols>
    <col min="1" max="1" width="2.85546875" style="73" customWidth="1"/>
    <col min="2" max="2" width="30.5703125" style="73" customWidth="1"/>
    <col min="3" max="3" width="9.140625" style="73"/>
    <col min="4" max="4" width="2.85546875" style="73" customWidth="1"/>
    <col min="5" max="5" width="22.140625" style="73" bestFit="1" customWidth="1"/>
    <col min="6" max="6" width="9.140625" style="73"/>
    <col min="7" max="7" width="2.85546875" style="73" customWidth="1"/>
    <col min="8" max="8" width="18.5703125" style="73" customWidth="1"/>
    <col min="9" max="9" width="9.140625" style="73"/>
    <col min="10" max="10" width="2.85546875" style="73" customWidth="1"/>
    <col min="11" max="11" width="22.7109375" style="73" bestFit="1" customWidth="1"/>
    <col min="12" max="13" width="9.140625" style="73"/>
    <col min="14" max="14" width="20.140625" style="73" customWidth="1"/>
    <col min="15" max="16384" width="9.140625" style="73"/>
  </cols>
  <sheetData>
    <row r="2" spans="2:15" ht="15" thickBot="1">
      <c r="B2" s="99" t="s">
        <v>9</v>
      </c>
      <c r="C2" s="105"/>
      <c r="E2" s="99" t="s">
        <v>10</v>
      </c>
      <c r="F2" s="105"/>
      <c r="H2" s="99" t="s">
        <v>155</v>
      </c>
      <c r="I2" s="105"/>
      <c r="K2" s="99" t="s">
        <v>32</v>
      </c>
      <c r="L2" s="105"/>
      <c r="N2" s="99" t="s">
        <v>156</v>
      </c>
      <c r="O2" s="105"/>
    </row>
    <row r="3" spans="2:15" ht="15" thickTop="1">
      <c r="B3" s="103" t="s">
        <v>13</v>
      </c>
      <c r="C3" s="101">
        <v>2</v>
      </c>
      <c r="E3" s="103" t="s">
        <v>13</v>
      </c>
      <c r="F3" s="101">
        <v>2</v>
      </c>
      <c r="H3" s="103" t="str">
        <f>'VFD Load Curves'!C3</f>
        <v>HVAC fan</v>
      </c>
      <c r="I3" s="101">
        <v>2</v>
      </c>
      <c r="K3" s="103" t="s">
        <v>33</v>
      </c>
      <c r="L3" s="101">
        <v>1</v>
      </c>
      <c r="N3" s="103" t="s">
        <v>25</v>
      </c>
      <c r="O3" s="101">
        <v>3</v>
      </c>
    </row>
    <row r="4" spans="2:15">
      <c r="B4" s="103" t="s">
        <v>6</v>
      </c>
      <c r="C4" s="101">
        <v>3</v>
      </c>
      <c r="E4" s="103" t="s">
        <v>24</v>
      </c>
      <c r="F4" s="101">
        <v>3</v>
      </c>
      <c r="H4" s="103" t="s">
        <v>25</v>
      </c>
      <c r="I4" s="101">
        <v>3</v>
      </c>
      <c r="K4" s="104" t="s">
        <v>34</v>
      </c>
      <c r="L4" s="102">
        <v>2</v>
      </c>
      <c r="M4" s="92"/>
      <c r="N4" s="103" t="s">
        <v>26</v>
      </c>
      <c r="O4" s="101">
        <v>4</v>
      </c>
    </row>
    <row r="5" spans="2:15">
      <c r="B5" s="103" t="s">
        <v>1</v>
      </c>
      <c r="C5" s="101">
        <v>4</v>
      </c>
      <c r="E5" s="103" t="s">
        <v>152</v>
      </c>
      <c r="F5" s="101">
        <v>4</v>
      </c>
      <c r="H5" s="103" t="s">
        <v>26</v>
      </c>
      <c r="I5" s="101">
        <v>4</v>
      </c>
      <c r="K5" s="92"/>
      <c r="L5" s="92"/>
      <c r="M5" s="92"/>
      <c r="N5" s="104" t="s">
        <v>28</v>
      </c>
      <c r="O5" s="102">
        <v>6</v>
      </c>
    </row>
    <row r="6" spans="2:15">
      <c r="B6" s="103" t="s">
        <v>3</v>
      </c>
      <c r="C6" s="101">
        <v>5</v>
      </c>
      <c r="E6" s="103" t="s">
        <v>150</v>
      </c>
      <c r="F6" s="101">
        <v>5</v>
      </c>
      <c r="H6" s="103" t="s">
        <v>154</v>
      </c>
      <c r="I6" s="101">
        <v>5</v>
      </c>
      <c r="K6" s="92"/>
      <c r="L6" s="92"/>
      <c r="M6" s="92"/>
    </row>
    <row r="7" spans="2:15">
      <c r="B7" s="103" t="s">
        <v>5</v>
      </c>
      <c r="C7" s="101">
        <v>6</v>
      </c>
      <c r="E7" s="104" t="s">
        <v>14</v>
      </c>
      <c r="F7" s="102">
        <v>6</v>
      </c>
      <c r="H7" s="104" t="s">
        <v>28</v>
      </c>
      <c r="I7" s="102">
        <v>6</v>
      </c>
    </row>
    <row r="8" spans="2:15">
      <c r="B8" s="103" t="s">
        <v>2</v>
      </c>
      <c r="C8" s="101">
        <v>7</v>
      </c>
    </row>
    <row r="9" spans="2:15">
      <c r="B9" s="103" t="s">
        <v>4</v>
      </c>
      <c r="C9" s="101">
        <v>8</v>
      </c>
    </row>
    <row r="10" spans="2:15">
      <c r="B10" s="104" t="s">
        <v>30</v>
      </c>
      <c r="C10" s="102">
        <v>9</v>
      </c>
    </row>
    <row r="13" spans="2:15">
      <c r="B13" s="10"/>
      <c r="C13" s="10"/>
      <c r="D13" s="10"/>
    </row>
    <row r="14" spans="2:15">
      <c r="B14" s="10"/>
      <c r="C14" s="10"/>
      <c r="D14" s="10"/>
    </row>
    <row r="15" spans="2:15">
      <c r="B15" s="10"/>
      <c r="C15" s="10"/>
      <c r="D15" s="10"/>
    </row>
    <row r="16" spans="2:15">
      <c r="B16" s="10"/>
      <c r="C16" s="10"/>
      <c r="D16" s="10"/>
    </row>
    <row r="17" spans="2:4">
      <c r="B17" s="10"/>
      <c r="C17" s="10"/>
      <c r="D17" s="10"/>
    </row>
    <row r="18" spans="2:4">
      <c r="B18" s="10"/>
      <c r="C18" s="10"/>
      <c r="D18" s="10"/>
    </row>
    <row r="19" spans="2:4">
      <c r="B19" s="10"/>
      <c r="C19" s="10"/>
      <c r="D19" s="10"/>
    </row>
  </sheetData>
  <sheetProtection password="CC08" sheet="1" objects="1" scenarios="1"/>
  <conditionalFormatting sqref="B3:B10 N3:O5">
    <cfRule type="expression" dxfId="16" priority="14">
      <formula>MOD(ROW(),2)</formula>
    </cfRule>
  </conditionalFormatting>
  <conditionalFormatting sqref="C3:C10">
    <cfRule type="expression" dxfId="15" priority="13">
      <formula>MOD(ROW(),2)</formula>
    </cfRule>
  </conditionalFormatting>
  <conditionalFormatting sqref="E3:E7">
    <cfRule type="expression" dxfId="14" priority="12">
      <formula>MOD(ROW(),2)</formula>
    </cfRule>
  </conditionalFormatting>
  <conditionalFormatting sqref="F3:F7">
    <cfRule type="expression" dxfId="13" priority="11">
      <formula>MOD(ROW(),2)</formula>
    </cfRule>
  </conditionalFormatting>
  <conditionalFormatting sqref="L3:L4">
    <cfRule type="expression" dxfId="12" priority="7">
      <formula>MOD(ROW(),2)</formula>
    </cfRule>
  </conditionalFormatting>
  <conditionalFormatting sqref="K3:K4">
    <cfRule type="expression" dxfId="11" priority="8">
      <formula>MOD(ROW(),2)</formula>
    </cfRule>
  </conditionalFormatting>
  <conditionalFormatting sqref="H3:H7">
    <cfRule type="expression" dxfId="10" priority="4">
      <formula>MOD(ROW(),2)</formula>
    </cfRule>
  </conditionalFormatting>
  <conditionalFormatting sqref="I3:I7">
    <cfRule type="expression" dxfId="9" priority="3">
      <formula>MOD(ROW(),2)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15"/>
  <sheetViews>
    <sheetView workbookViewId="0">
      <selection activeCell="F4" sqref="F4"/>
    </sheetView>
  </sheetViews>
  <sheetFormatPr defaultRowHeight="12.75"/>
  <cols>
    <col min="1" max="1" width="2.85546875" style="10" customWidth="1"/>
    <col min="2" max="2" width="17" style="10" bestFit="1" customWidth="1"/>
    <col min="3" max="3" width="13.85546875" style="10" customWidth="1"/>
    <col min="4" max="4" width="16.5703125" style="10" customWidth="1"/>
    <col min="5" max="5" width="22" style="10" customWidth="1"/>
    <col min="6" max="6" width="13" style="10" customWidth="1"/>
    <col min="7" max="7" width="12.85546875" style="10" bestFit="1" customWidth="1"/>
    <col min="8" max="16384" width="9.140625" style="10"/>
  </cols>
  <sheetData>
    <row r="2" spans="2:7" ht="15" customHeight="1">
      <c r="B2" s="278" t="s">
        <v>15</v>
      </c>
      <c r="C2" s="279"/>
      <c r="D2" s="279"/>
      <c r="E2" s="279"/>
      <c r="F2" s="279"/>
      <c r="G2" s="280"/>
    </row>
    <row r="3" spans="2:7">
      <c r="B3" s="106"/>
      <c r="C3" s="107">
        <v>2</v>
      </c>
      <c r="D3" s="107">
        <v>3</v>
      </c>
      <c r="E3" s="107">
        <v>4</v>
      </c>
      <c r="F3" s="107">
        <v>5</v>
      </c>
      <c r="G3" s="108">
        <v>6</v>
      </c>
    </row>
    <row r="4" spans="2:7" ht="39" thickBot="1">
      <c r="B4" s="138" t="s">
        <v>16</v>
      </c>
      <c r="C4" s="139" t="s">
        <v>13</v>
      </c>
      <c r="D4" s="139" t="s">
        <v>12</v>
      </c>
      <c r="E4" s="140" t="str">
        <f>'Lookup Tables'!E5</f>
        <v>Torque Converter</v>
      </c>
      <c r="F4" s="140" t="str">
        <f>'Lookup Tables'!E6</f>
        <v>None-Constant Volume</v>
      </c>
      <c r="G4" s="139" t="s">
        <v>14</v>
      </c>
    </row>
    <row r="5" spans="2:7" ht="13.5" thickTop="1">
      <c r="B5" s="111">
        <v>0</v>
      </c>
      <c r="C5" s="109">
        <v>27.447510000000001</v>
      </c>
      <c r="D5" s="109">
        <v>16.396830000000001</v>
      </c>
      <c r="E5" s="109">
        <v>13.511369999999999</v>
      </c>
      <c r="F5" s="109">
        <v>100</v>
      </c>
      <c r="G5" s="109">
        <v>55.212400000000002</v>
      </c>
    </row>
    <row r="6" spans="2:7">
      <c r="B6" s="111">
        <v>0.1</v>
      </c>
      <c r="C6" s="109">
        <v>19.124210000000001</v>
      </c>
      <c r="D6" s="109">
        <v>17.03913</v>
      </c>
      <c r="E6" s="109">
        <v>18.157069999999997</v>
      </c>
      <c r="F6" s="109">
        <v>100</v>
      </c>
      <c r="G6" s="109">
        <v>61.392400000000002</v>
      </c>
    </row>
    <row r="7" spans="2:7">
      <c r="B7" s="111">
        <v>0.2</v>
      </c>
      <c r="C7" s="109">
        <v>14.324910000000001</v>
      </c>
      <c r="D7" s="109">
        <v>19.975430000000003</v>
      </c>
      <c r="E7" s="109">
        <v>24.920769999999997</v>
      </c>
      <c r="F7" s="109">
        <v>100</v>
      </c>
      <c r="G7" s="109">
        <v>67.192400000000006</v>
      </c>
    </row>
    <row r="8" spans="2:7">
      <c r="B8" s="111">
        <v>0.3</v>
      </c>
      <c r="C8" s="109">
        <v>13.049610000000005</v>
      </c>
      <c r="D8" s="109">
        <v>25.025730000000003</v>
      </c>
      <c r="E8" s="109">
        <v>33.382469999999998</v>
      </c>
      <c r="F8" s="109">
        <v>100</v>
      </c>
      <c r="G8" s="109">
        <v>72.612400000000008</v>
      </c>
    </row>
    <row r="9" spans="2:7">
      <c r="B9" s="111">
        <v>0.4</v>
      </c>
      <c r="C9" s="109">
        <v>15.298310000000001</v>
      </c>
      <c r="D9" s="109">
        <v>32.01003</v>
      </c>
      <c r="E9" s="109">
        <v>43.122169999999997</v>
      </c>
      <c r="F9" s="109">
        <v>100</v>
      </c>
      <c r="G9" s="109">
        <v>77.6524</v>
      </c>
    </row>
    <row r="10" spans="2:7">
      <c r="B10" s="111">
        <v>0.5</v>
      </c>
      <c r="C10" s="109">
        <v>21.071010000000001</v>
      </c>
      <c r="D10" s="109">
        <v>40.748330000000003</v>
      </c>
      <c r="E10" s="109">
        <v>53.71987</v>
      </c>
      <c r="F10" s="109">
        <v>100</v>
      </c>
      <c r="G10" s="109">
        <v>82.312399999999997</v>
      </c>
    </row>
    <row r="11" spans="2:7">
      <c r="B11" s="111">
        <v>0.6</v>
      </c>
      <c r="C11" s="109">
        <v>30.36771000000001</v>
      </c>
      <c r="D11" s="109">
        <v>51.06063000000001</v>
      </c>
      <c r="E11" s="109">
        <v>64.755570000000006</v>
      </c>
      <c r="F11" s="109">
        <v>100</v>
      </c>
      <c r="G11" s="109">
        <v>86.592399999999998</v>
      </c>
    </row>
    <row r="12" spans="2:7">
      <c r="B12" s="111">
        <v>0.7</v>
      </c>
      <c r="C12" s="109">
        <v>43.188410000000012</v>
      </c>
      <c r="D12" s="109">
        <v>62.766930000000009</v>
      </c>
      <c r="E12" s="109">
        <v>75.809269999999998</v>
      </c>
      <c r="F12" s="109">
        <v>100</v>
      </c>
      <c r="G12" s="109">
        <v>90.492400000000004</v>
      </c>
    </row>
    <row r="13" spans="2:7">
      <c r="B13" s="111">
        <v>0.8</v>
      </c>
      <c r="C13" s="109">
        <v>59.533110000000001</v>
      </c>
      <c r="D13" s="109">
        <v>75.68723</v>
      </c>
      <c r="E13" s="109">
        <v>86.460970000000003</v>
      </c>
      <c r="F13" s="109">
        <v>100</v>
      </c>
      <c r="G13" s="109">
        <v>94.0124</v>
      </c>
    </row>
    <row r="14" spans="2:7">
      <c r="B14" s="111">
        <v>0.9</v>
      </c>
      <c r="C14" s="109">
        <v>79.401810000000012</v>
      </c>
      <c r="D14" s="109">
        <v>89.641529999999989</v>
      </c>
      <c r="E14" s="109">
        <v>96.290670000000006</v>
      </c>
      <c r="F14" s="109">
        <v>100</v>
      </c>
      <c r="G14" s="109">
        <v>97.1524</v>
      </c>
    </row>
    <row r="15" spans="2:7">
      <c r="B15" s="112">
        <v>1</v>
      </c>
      <c r="C15" s="110">
        <v>102.79451</v>
      </c>
      <c r="D15" s="110">
        <v>104.44982999999999</v>
      </c>
      <c r="E15" s="110">
        <v>104.87837</v>
      </c>
      <c r="F15" s="110">
        <v>100</v>
      </c>
      <c r="G15" s="110">
        <v>99.912400000000005</v>
      </c>
    </row>
  </sheetData>
  <sheetProtection password="CC08" sheet="1" objects="1" scenarios="1"/>
  <mergeCells count="1">
    <mergeCell ref="B2:G2"/>
  </mergeCells>
  <conditionalFormatting sqref="B5:G15">
    <cfRule type="expression" dxfId="8" priority="1">
      <formula>MOD(ROW(),2)</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Y27"/>
  <sheetViews>
    <sheetView workbookViewId="0">
      <selection activeCell="F4" sqref="F4"/>
    </sheetView>
  </sheetViews>
  <sheetFormatPr defaultRowHeight="14.25"/>
  <cols>
    <col min="1" max="1" width="2.85546875" style="73" customWidth="1"/>
    <col min="2" max="2" width="16.42578125" style="73" bestFit="1" customWidth="1"/>
    <col min="3" max="3" width="9.140625" style="73"/>
    <col min="4" max="4" width="13.42578125" style="73" customWidth="1"/>
    <col min="5" max="5" width="14.42578125" style="73" customWidth="1"/>
    <col min="6" max="6" width="15" style="73" customWidth="1"/>
    <col min="7" max="7" width="18.140625" style="73" customWidth="1"/>
    <col min="8" max="8" width="20.140625" style="73" customWidth="1"/>
    <col min="9" max="9" width="18" style="73" customWidth="1"/>
    <col min="10" max="10" width="12.42578125" style="73" customWidth="1"/>
    <col min="11" max="16384" width="9.140625" style="73"/>
  </cols>
  <sheetData>
    <row r="2" spans="1:25">
      <c r="A2" s="10"/>
      <c r="B2" s="278" t="s">
        <v>18</v>
      </c>
      <c r="C2" s="279"/>
      <c r="D2" s="279"/>
      <c r="E2" s="279"/>
      <c r="F2" s="279"/>
      <c r="G2" s="279"/>
      <c r="H2" s="279"/>
      <c r="I2" s="279"/>
      <c r="J2" s="280"/>
      <c r="K2" s="10"/>
      <c r="L2" s="10"/>
      <c r="M2" s="10"/>
      <c r="N2" s="10"/>
      <c r="O2" s="10"/>
      <c r="P2" s="10"/>
      <c r="Q2" s="10"/>
      <c r="R2" s="10"/>
      <c r="S2" s="10"/>
      <c r="T2" s="10"/>
      <c r="U2" s="10"/>
      <c r="V2" s="10"/>
      <c r="W2" s="10"/>
      <c r="X2" s="10"/>
    </row>
    <row r="3" spans="1:25">
      <c r="A3" s="10"/>
      <c r="B3" s="106"/>
      <c r="C3" s="107">
        <v>2</v>
      </c>
      <c r="D3" s="107">
        <v>3</v>
      </c>
      <c r="E3" s="107">
        <v>4</v>
      </c>
      <c r="F3" s="107">
        <v>5</v>
      </c>
      <c r="G3" s="107">
        <v>6</v>
      </c>
      <c r="H3" s="107">
        <v>7</v>
      </c>
      <c r="I3" s="107">
        <v>8</v>
      </c>
      <c r="J3" s="108">
        <v>9</v>
      </c>
      <c r="K3" s="10"/>
      <c r="L3" s="10"/>
      <c r="M3" s="10"/>
      <c r="N3" s="10"/>
      <c r="O3" s="10"/>
      <c r="P3" s="10"/>
      <c r="Q3" s="10"/>
      <c r="R3" s="10"/>
      <c r="S3" s="10"/>
      <c r="T3" s="10"/>
      <c r="U3" s="10"/>
      <c r="V3" s="10"/>
      <c r="W3" s="10"/>
      <c r="X3" s="10"/>
      <c r="Y3" s="93"/>
    </row>
    <row r="4" spans="1:25" ht="64.5" thickBot="1">
      <c r="A4" s="10"/>
      <c r="B4" s="100" t="s">
        <v>19</v>
      </c>
      <c r="C4" s="105" t="s">
        <v>13</v>
      </c>
      <c r="D4" s="113" t="s">
        <v>12</v>
      </c>
      <c r="E4" s="113" t="s">
        <v>20</v>
      </c>
      <c r="F4" s="113" t="s">
        <v>21</v>
      </c>
      <c r="G4" s="113" t="s">
        <v>5</v>
      </c>
      <c r="H4" s="113" t="s">
        <v>22</v>
      </c>
      <c r="I4" s="113" t="s">
        <v>23</v>
      </c>
      <c r="J4" s="113" t="s">
        <v>30</v>
      </c>
      <c r="K4" s="10"/>
      <c r="L4" s="10"/>
      <c r="M4" s="10"/>
      <c r="N4" s="10"/>
      <c r="O4" s="10"/>
      <c r="P4" s="10"/>
      <c r="Q4" s="10"/>
      <c r="R4" s="10"/>
      <c r="S4" s="10"/>
      <c r="T4" s="10"/>
      <c r="U4" s="10"/>
      <c r="V4" s="10"/>
      <c r="W4" s="10"/>
      <c r="X4" s="10"/>
      <c r="Y4" s="93"/>
    </row>
    <row r="5" spans="1:25" ht="15" thickTop="1">
      <c r="A5" s="10"/>
      <c r="B5" s="114">
        <v>0</v>
      </c>
      <c r="C5" s="115">
        <v>0</v>
      </c>
      <c r="D5" s="115">
        <v>0</v>
      </c>
      <c r="E5" s="115">
        <v>0</v>
      </c>
      <c r="F5" s="115">
        <v>0</v>
      </c>
      <c r="G5" s="115">
        <v>0</v>
      </c>
      <c r="H5" s="115">
        <v>0</v>
      </c>
      <c r="I5" s="115">
        <v>0</v>
      </c>
      <c r="J5" s="115">
        <v>0</v>
      </c>
      <c r="K5" s="10"/>
      <c r="L5" s="10"/>
      <c r="M5" s="10"/>
      <c r="N5" s="10"/>
      <c r="O5" s="10"/>
      <c r="P5" s="10"/>
      <c r="Q5" s="10"/>
      <c r="R5" s="10"/>
      <c r="S5" s="10"/>
      <c r="T5" s="10"/>
      <c r="U5" s="10"/>
      <c r="V5" s="10"/>
      <c r="W5" s="10"/>
      <c r="X5" s="10"/>
      <c r="Y5" s="93"/>
    </row>
    <row r="6" spans="1:25">
      <c r="A6" s="10"/>
      <c r="B6" s="111">
        <v>0.1</v>
      </c>
      <c r="C6" s="109">
        <v>4.75</v>
      </c>
      <c r="D6" s="109">
        <v>17</v>
      </c>
      <c r="E6" s="109">
        <v>20.642800000000001</v>
      </c>
      <c r="F6" s="109">
        <v>52.642299999999999</v>
      </c>
      <c r="G6" s="109">
        <v>56.101129999999998</v>
      </c>
      <c r="H6" s="109">
        <v>22.262349999999998</v>
      </c>
      <c r="I6" s="109">
        <v>52.560070000000003</v>
      </c>
      <c r="J6" s="109">
        <v>100</v>
      </c>
      <c r="K6" s="10"/>
      <c r="L6" s="10"/>
      <c r="M6" s="10"/>
      <c r="N6" s="10"/>
      <c r="O6" s="10"/>
      <c r="P6" s="10"/>
      <c r="Q6" s="10"/>
      <c r="R6" s="10"/>
      <c r="S6" s="10"/>
      <c r="T6" s="10"/>
      <c r="U6" s="10"/>
      <c r="V6" s="10"/>
      <c r="W6" s="10"/>
      <c r="X6" s="10"/>
      <c r="Y6" s="93"/>
    </row>
    <row r="7" spans="1:25">
      <c r="A7" s="10"/>
      <c r="B7" s="111">
        <v>0.2</v>
      </c>
      <c r="C7" s="109">
        <v>5.37</v>
      </c>
      <c r="D7" s="109">
        <v>20</v>
      </c>
      <c r="E7" s="109">
        <v>21.569600000000001</v>
      </c>
      <c r="F7" s="109">
        <v>55.7547</v>
      </c>
      <c r="G7" s="109">
        <v>59.819929999999999</v>
      </c>
      <c r="H7" s="109">
        <v>25.595649999999999</v>
      </c>
      <c r="I7" s="109">
        <v>53.275570000000002</v>
      </c>
      <c r="J7" s="109">
        <v>100</v>
      </c>
      <c r="K7" s="10"/>
      <c r="L7" s="10"/>
      <c r="M7" s="10"/>
      <c r="N7" s="10"/>
      <c r="O7" s="10"/>
      <c r="P7" s="10"/>
      <c r="Q7" s="10"/>
      <c r="R7" s="10"/>
      <c r="S7" s="10"/>
      <c r="T7" s="10"/>
      <c r="U7" s="10"/>
      <c r="V7" s="10"/>
      <c r="W7" s="10"/>
      <c r="X7" s="10"/>
      <c r="Y7" s="93"/>
    </row>
    <row r="8" spans="1:25">
      <c r="A8" s="10"/>
      <c r="B8" s="111">
        <v>0.3</v>
      </c>
      <c r="C8" s="109">
        <v>8</v>
      </c>
      <c r="D8" s="109">
        <v>25</v>
      </c>
      <c r="E8" s="109">
        <v>23.320399999999999</v>
      </c>
      <c r="F8" s="109">
        <v>57.439099999999996</v>
      </c>
      <c r="G8" s="109">
        <v>62.19473</v>
      </c>
      <c r="H8" s="109">
        <v>30.418949999999999</v>
      </c>
      <c r="I8" s="109">
        <v>57.235070000000007</v>
      </c>
      <c r="J8" s="109">
        <v>100</v>
      </c>
      <c r="K8" s="10"/>
      <c r="L8" s="10"/>
      <c r="M8" s="10"/>
      <c r="N8" s="10"/>
      <c r="O8" s="10"/>
      <c r="P8" s="10"/>
      <c r="Q8" s="10"/>
      <c r="R8" s="10"/>
      <c r="S8" s="10"/>
      <c r="T8" s="10"/>
      <c r="U8" s="10"/>
      <c r="V8" s="10"/>
      <c r="W8" s="10"/>
      <c r="X8" s="10"/>
      <c r="Y8" s="93"/>
    </row>
    <row r="9" spans="1:25">
      <c r="A9" s="10"/>
      <c r="B9" s="111">
        <v>0.4</v>
      </c>
      <c r="C9" s="109">
        <v>12.89</v>
      </c>
      <c r="D9" s="109">
        <v>32</v>
      </c>
      <c r="E9" s="109">
        <v>26.435200000000002</v>
      </c>
      <c r="F9" s="109">
        <v>58.535499999999999</v>
      </c>
      <c r="G9" s="109">
        <v>64.005529999999993</v>
      </c>
      <c r="H9" s="109">
        <v>36.732250000000001</v>
      </c>
      <c r="I9" s="109">
        <v>63.598569999999995</v>
      </c>
      <c r="J9" s="109">
        <v>100</v>
      </c>
      <c r="K9" s="10"/>
      <c r="L9" s="10"/>
      <c r="M9" s="10"/>
      <c r="N9" s="10"/>
      <c r="O9" s="10"/>
      <c r="P9" s="10"/>
      <c r="Q9" s="10"/>
      <c r="R9" s="10"/>
      <c r="S9" s="10"/>
      <c r="T9" s="10"/>
      <c r="U9" s="10"/>
      <c r="V9" s="10"/>
      <c r="W9" s="10"/>
      <c r="X9" s="10"/>
      <c r="Y9" s="93"/>
    </row>
    <row r="10" spans="1:25">
      <c r="A10" s="10"/>
      <c r="B10" s="111">
        <v>0.5</v>
      </c>
      <c r="C10" s="109">
        <v>20.27</v>
      </c>
      <c r="D10" s="109">
        <v>40.700000000000003</v>
      </c>
      <c r="E10" s="109">
        <v>31.454000000000001</v>
      </c>
      <c r="F10" s="109">
        <v>59.883899999999997</v>
      </c>
      <c r="G10" s="109">
        <v>66.032330000000002</v>
      </c>
      <c r="H10" s="109">
        <v>44.535550000000001</v>
      </c>
      <c r="I10" s="109">
        <v>71.526070000000004</v>
      </c>
      <c r="J10" s="109">
        <v>100</v>
      </c>
      <c r="K10" s="10"/>
      <c r="L10" s="10"/>
      <c r="M10" s="10"/>
      <c r="N10" s="10"/>
      <c r="O10" s="10"/>
      <c r="P10" s="10"/>
      <c r="Q10" s="10"/>
      <c r="R10" s="10"/>
      <c r="S10" s="10"/>
      <c r="T10" s="10"/>
      <c r="U10" s="10"/>
      <c r="V10" s="10"/>
      <c r="W10" s="10"/>
      <c r="X10" s="10"/>
      <c r="Y10" s="93"/>
    </row>
    <row r="11" spans="1:25">
      <c r="A11" s="10"/>
      <c r="B11" s="111">
        <v>0.6</v>
      </c>
      <c r="C11" s="109">
        <v>30.38</v>
      </c>
      <c r="D11" s="109">
        <v>51.1</v>
      </c>
      <c r="E11" s="109">
        <v>38.916800000000002</v>
      </c>
      <c r="F11" s="109">
        <v>62.324299999999994</v>
      </c>
      <c r="G11" s="109">
        <v>69.055129999999991</v>
      </c>
      <c r="H11" s="109">
        <v>53.828849999999996</v>
      </c>
      <c r="I11" s="109">
        <v>80.177570000000017</v>
      </c>
      <c r="J11" s="109">
        <v>100</v>
      </c>
      <c r="K11" s="10"/>
      <c r="L11" s="10"/>
      <c r="M11" s="10"/>
      <c r="N11" s="10"/>
      <c r="O11" s="10"/>
      <c r="P11" s="10"/>
      <c r="Q11" s="10"/>
      <c r="R11" s="10"/>
      <c r="S11" s="10"/>
      <c r="T11" s="10"/>
      <c r="U11" s="10"/>
      <c r="V11" s="10"/>
      <c r="W11" s="10"/>
      <c r="X11" s="10"/>
      <c r="Y11" s="93"/>
    </row>
    <row r="12" spans="1:25">
      <c r="A12" s="10"/>
      <c r="B12" s="111">
        <v>0.7</v>
      </c>
      <c r="C12" s="109">
        <v>43.46</v>
      </c>
      <c r="D12" s="109">
        <v>62.8</v>
      </c>
      <c r="E12" s="109">
        <v>49.363599999999998</v>
      </c>
      <c r="F12" s="109">
        <v>66.696699999999993</v>
      </c>
      <c r="G12" s="109">
        <v>73.853929999999991</v>
      </c>
      <c r="H12" s="109">
        <v>64.61215</v>
      </c>
      <c r="I12" s="109">
        <v>88.713070000000002</v>
      </c>
      <c r="J12" s="109">
        <v>100</v>
      </c>
      <c r="K12" s="10"/>
      <c r="L12" s="10"/>
      <c r="M12" s="10"/>
      <c r="N12" s="10"/>
      <c r="O12" s="10"/>
      <c r="P12" s="10"/>
      <c r="Q12" s="10"/>
      <c r="R12" s="10"/>
      <c r="S12" s="10"/>
      <c r="T12" s="10"/>
      <c r="U12" s="10"/>
      <c r="V12" s="10"/>
      <c r="W12" s="10"/>
      <c r="X12" s="10"/>
      <c r="Y12" s="93"/>
    </row>
    <row r="13" spans="1:25">
      <c r="A13" s="10"/>
      <c r="B13" s="111">
        <v>0.8</v>
      </c>
      <c r="C13" s="109">
        <v>59.75</v>
      </c>
      <c r="D13" s="109">
        <v>75.5</v>
      </c>
      <c r="E13" s="109">
        <v>63.334400000000002</v>
      </c>
      <c r="F13" s="109">
        <v>73.841099999999983</v>
      </c>
      <c r="G13" s="109">
        <v>81.208729999999989</v>
      </c>
      <c r="H13" s="109">
        <v>76.885449999999992</v>
      </c>
      <c r="I13" s="109">
        <v>96.292569999999998</v>
      </c>
      <c r="J13" s="109">
        <v>100</v>
      </c>
      <c r="K13" s="10"/>
      <c r="L13" s="10"/>
      <c r="M13" s="10"/>
      <c r="N13" s="10"/>
      <c r="O13" s="10"/>
      <c r="P13" s="10"/>
      <c r="Q13" s="10"/>
      <c r="R13" s="10"/>
      <c r="S13" s="10"/>
      <c r="T13" s="10"/>
      <c r="U13" s="10"/>
      <c r="V13" s="10"/>
      <c r="W13" s="10"/>
      <c r="X13" s="10"/>
      <c r="Y13" s="93"/>
    </row>
    <row r="14" spans="1:25">
      <c r="A14" s="10"/>
      <c r="B14" s="111">
        <v>0.9</v>
      </c>
      <c r="C14" s="109">
        <v>79.5</v>
      </c>
      <c r="D14" s="109">
        <v>89.6</v>
      </c>
      <c r="E14" s="109">
        <v>81.369200000000006</v>
      </c>
      <c r="F14" s="109">
        <v>84.597499999999997</v>
      </c>
      <c r="G14" s="109">
        <v>91.899529999999999</v>
      </c>
      <c r="H14" s="109">
        <v>90.648749999999993</v>
      </c>
      <c r="I14" s="109">
        <v>102.07607000000002</v>
      </c>
      <c r="J14" s="109">
        <v>100</v>
      </c>
      <c r="K14" s="10"/>
      <c r="L14" s="10"/>
      <c r="M14" s="10"/>
      <c r="N14" s="10"/>
      <c r="O14" s="10"/>
      <c r="P14" s="10"/>
      <c r="Q14" s="10"/>
      <c r="R14" s="10"/>
      <c r="S14" s="10"/>
      <c r="T14" s="10"/>
      <c r="U14" s="10"/>
      <c r="V14" s="10"/>
      <c r="W14" s="10"/>
      <c r="X14" s="10"/>
      <c r="Y14" s="93"/>
    </row>
    <row r="15" spans="1:25">
      <c r="A15" s="10"/>
      <c r="B15" s="112">
        <v>1</v>
      </c>
      <c r="C15" s="110">
        <v>102.93</v>
      </c>
      <c r="D15" s="110">
        <v>104.4</v>
      </c>
      <c r="E15" s="110">
        <v>104.00800000000001</v>
      </c>
      <c r="F15" s="110">
        <v>99.805899999999994</v>
      </c>
      <c r="G15" s="110">
        <v>106.70633000000001</v>
      </c>
      <c r="H15" s="110">
        <v>105.90205</v>
      </c>
      <c r="I15" s="110">
        <v>105.22357</v>
      </c>
      <c r="J15" s="110">
        <v>100</v>
      </c>
      <c r="K15" s="10"/>
      <c r="L15" s="10"/>
      <c r="M15" s="10"/>
      <c r="N15" s="10"/>
      <c r="O15" s="10"/>
      <c r="P15" s="10"/>
      <c r="Q15" s="10"/>
      <c r="R15" s="10"/>
      <c r="S15" s="10"/>
      <c r="T15" s="10"/>
      <c r="U15" s="10"/>
      <c r="V15" s="10"/>
      <c r="W15" s="10"/>
      <c r="X15" s="10"/>
      <c r="Y15" s="93"/>
    </row>
    <row r="16" spans="1:25">
      <c r="A16" s="10"/>
      <c r="B16" s="10"/>
      <c r="C16" s="10"/>
      <c r="D16" s="10"/>
      <c r="E16" s="10"/>
      <c r="F16" s="10"/>
      <c r="G16" s="10"/>
      <c r="H16" s="10"/>
      <c r="I16" s="10"/>
      <c r="J16" s="10"/>
      <c r="K16" s="10"/>
      <c r="L16" s="10"/>
      <c r="M16" s="10"/>
      <c r="N16" s="10"/>
      <c r="O16" s="10"/>
      <c r="P16" s="10"/>
      <c r="Q16" s="10"/>
      <c r="R16" s="10"/>
      <c r="S16" s="10"/>
      <c r="T16" s="10"/>
      <c r="U16" s="10"/>
      <c r="V16" s="10"/>
      <c r="W16" s="10"/>
      <c r="X16" s="10"/>
      <c r="Y16" s="93"/>
    </row>
    <row r="17" spans="1:25">
      <c r="A17" s="10"/>
      <c r="B17" s="10"/>
      <c r="C17" s="10"/>
      <c r="D17" s="10"/>
      <c r="E17" s="10"/>
      <c r="F17" s="10"/>
      <c r="G17" s="10"/>
      <c r="H17" s="10"/>
      <c r="I17" s="10"/>
      <c r="J17" s="10"/>
      <c r="K17" s="10"/>
      <c r="L17" s="10"/>
      <c r="M17" s="10"/>
      <c r="N17" s="10"/>
      <c r="O17" s="10"/>
      <c r="P17" s="10"/>
      <c r="Q17" s="10"/>
      <c r="R17" s="10"/>
      <c r="S17" s="10"/>
      <c r="T17" s="10"/>
      <c r="U17" s="10"/>
      <c r="V17" s="10"/>
      <c r="W17" s="10"/>
      <c r="X17" s="10"/>
      <c r="Y17" s="93"/>
    </row>
    <row r="18" spans="1:25">
      <c r="A18" s="10"/>
      <c r="B18" s="10"/>
      <c r="C18" s="10"/>
      <c r="D18" s="10"/>
      <c r="E18" s="10"/>
      <c r="F18" s="10"/>
      <c r="G18" s="10"/>
      <c r="H18" s="10"/>
      <c r="I18" s="10"/>
      <c r="J18" s="10"/>
      <c r="K18" s="10"/>
      <c r="L18" s="10"/>
      <c r="M18" s="10"/>
      <c r="N18" s="10"/>
      <c r="O18" s="10"/>
      <c r="P18" s="10"/>
      <c r="Q18" s="10"/>
      <c r="R18" s="10"/>
      <c r="S18" s="10"/>
      <c r="T18" s="10"/>
      <c r="U18" s="10"/>
      <c r="V18" s="10"/>
      <c r="W18" s="10"/>
      <c r="X18" s="10"/>
      <c r="Y18" s="93"/>
    </row>
    <row r="19" spans="1:25">
      <c r="A19" s="10"/>
      <c r="B19" s="10"/>
      <c r="C19" s="10"/>
      <c r="D19" s="10"/>
      <c r="E19" s="10"/>
      <c r="F19" s="10"/>
      <c r="G19" s="10"/>
      <c r="H19" s="10"/>
      <c r="I19" s="10"/>
      <c r="J19" s="10"/>
      <c r="K19" s="10"/>
      <c r="L19" s="10"/>
      <c r="M19" s="10"/>
      <c r="N19" s="10"/>
      <c r="O19" s="10"/>
      <c r="P19" s="10"/>
      <c r="Q19" s="10"/>
      <c r="R19" s="10"/>
      <c r="S19" s="10"/>
      <c r="T19" s="10"/>
      <c r="U19" s="10"/>
      <c r="V19" s="10"/>
      <c r="W19" s="10"/>
      <c r="X19" s="10"/>
      <c r="Y19" s="93"/>
    </row>
    <row r="20" spans="1:25">
      <c r="A20" s="10"/>
      <c r="B20" s="10"/>
      <c r="C20" s="10"/>
      <c r="D20" s="10"/>
      <c r="E20" s="10"/>
      <c r="F20" s="10"/>
      <c r="G20" s="10"/>
      <c r="H20" s="10"/>
      <c r="I20" s="10"/>
      <c r="J20" s="10"/>
      <c r="K20" s="10"/>
      <c r="L20" s="10"/>
      <c r="M20" s="10"/>
      <c r="N20" s="10"/>
      <c r="O20" s="10"/>
      <c r="P20" s="10"/>
      <c r="Q20" s="10"/>
      <c r="R20" s="10"/>
      <c r="S20" s="10"/>
      <c r="T20" s="10"/>
      <c r="U20" s="10"/>
      <c r="V20" s="10"/>
      <c r="W20" s="10"/>
      <c r="X20" s="10"/>
      <c r="Y20" s="93"/>
    </row>
    <row r="21" spans="1:25">
      <c r="A21" s="10"/>
      <c r="B21" s="10"/>
      <c r="C21" s="10"/>
      <c r="D21" s="10"/>
      <c r="E21" s="10"/>
      <c r="F21" s="10"/>
      <c r="G21" s="10"/>
      <c r="H21" s="10"/>
      <c r="I21" s="10"/>
      <c r="J21" s="10"/>
      <c r="K21" s="10"/>
      <c r="L21" s="10"/>
      <c r="M21" s="10"/>
      <c r="N21" s="10"/>
      <c r="O21" s="10"/>
      <c r="P21" s="10"/>
      <c r="Q21" s="10"/>
      <c r="R21" s="10"/>
      <c r="S21" s="10"/>
      <c r="T21" s="10"/>
      <c r="U21" s="10"/>
      <c r="V21" s="10"/>
      <c r="W21" s="10"/>
      <c r="X21" s="10"/>
      <c r="Y21" s="93"/>
    </row>
    <row r="22" spans="1:25">
      <c r="A22" s="10"/>
      <c r="B22" s="10"/>
      <c r="C22" s="10"/>
      <c r="D22" s="10"/>
      <c r="E22" s="10"/>
      <c r="F22" s="10"/>
      <c r="G22" s="10"/>
      <c r="H22" s="10"/>
      <c r="I22" s="10"/>
      <c r="J22" s="10"/>
      <c r="K22" s="10"/>
      <c r="L22" s="10"/>
      <c r="M22" s="10"/>
      <c r="N22" s="10"/>
      <c r="O22" s="10"/>
      <c r="P22" s="10"/>
      <c r="Q22" s="10"/>
      <c r="R22" s="10"/>
      <c r="S22" s="10"/>
      <c r="T22" s="10"/>
      <c r="U22" s="10"/>
      <c r="V22" s="10"/>
      <c r="W22" s="10"/>
      <c r="X22" s="10"/>
      <c r="Y22" s="93"/>
    </row>
    <row r="23" spans="1:25">
      <c r="A23" s="10"/>
      <c r="B23" s="10"/>
      <c r="C23" s="10"/>
      <c r="D23" s="10"/>
      <c r="E23" s="10"/>
      <c r="F23" s="10"/>
      <c r="G23" s="10"/>
      <c r="H23" s="10"/>
      <c r="I23" s="10"/>
      <c r="J23" s="10"/>
      <c r="K23" s="10"/>
      <c r="L23" s="10"/>
      <c r="M23" s="10"/>
      <c r="N23" s="10"/>
      <c r="O23" s="10"/>
      <c r="P23" s="10"/>
      <c r="Q23" s="10"/>
      <c r="R23" s="10"/>
      <c r="S23" s="10"/>
      <c r="T23" s="10"/>
      <c r="U23" s="10"/>
      <c r="V23" s="10"/>
      <c r="W23" s="10"/>
      <c r="X23" s="10"/>
      <c r="Y23" s="93"/>
    </row>
    <row r="24" spans="1:25">
      <c r="A24" s="93"/>
      <c r="B24" s="93"/>
      <c r="C24" s="93"/>
      <c r="D24" s="93"/>
      <c r="E24" s="93"/>
      <c r="F24" s="93"/>
      <c r="G24" s="93"/>
      <c r="H24" s="93"/>
      <c r="I24" s="93"/>
      <c r="J24" s="93"/>
      <c r="K24" s="93"/>
      <c r="L24" s="93"/>
      <c r="M24" s="93"/>
      <c r="N24" s="93"/>
      <c r="O24" s="93"/>
      <c r="P24" s="93"/>
      <c r="Q24" s="93"/>
      <c r="R24" s="93"/>
      <c r="S24" s="93"/>
      <c r="T24" s="93"/>
      <c r="U24" s="93"/>
      <c r="V24" s="93"/>
      <c r="W24" s="93"/>
      <c r="X24" s="93"/>
      <c r="Y24" s="93"/>
    </row>
    <row r="25" spans="1:25">
      <c r="A25" s="93"/>
      <c r="B25" s="93"/>
      <c r="C25" s="93"/>
      <c r="D25" s="93"/>
      <c r="E25" s="93"/>
      <c r="F25" s="93"/>
      <c r="G25" s="93"/>
      <c r="H25" s="93"/>
      <c r="I25" s="93"/>
      <c r="J25" s="93"/>
      <c r="K25" s="93"/>
      <c r="L25" s="93"/>
      <c r="M25" s="93"/>
      <c r="N25" s="93"/>
      <c r="O25" s="93"/>
      <c r="P25" s="93"/>
      <c r="Q25" s="93"/>
      <c r="R25" s="93"/>
      <c r="S25" s="93"/>
      <c r="T25" s="93"/>
      <c r="U25" s="93"/>
      <c r="V25" s="93"/>
      <c r="W25" s="93"/>
      <c r="X25" s="93"/>
      <c r="Y25" s="93"/>
    </row>
    <row r="26" spans="1:25">
      <c r="A26" s="93"/>
      <c r="B26" s="93"/>
      <c r="C26" s="93"/>
      <c r="D26" s="93"/>
      <c r="E26" s="93"/>
      <c r="F26" s="93"/>
      <c r="G26" s="93"/>
      <c r="H26" s="93"/>
      <c r="I26" s="93"/>
      <c r="J26" s="93"/>
      <c r="K26" s="93"/>
      <c r="L26" s="93"/>
      <c r="M26" s="93"/>
      <c r="N26" s="93"/>
      <c r="O26" s="93"/>
      <c r="P26" s="93"/>
      <c r="Q26" s="93"/>
      <c r="R26" s="93"/>
      <c r="S26" s="93"/>
      <c r="T26" s="93"/>
      <c r="U26" s="93"/>
      <c r="V26" s="93"/>
      <c r="W26" s="93"/>
      <c r="X26" s="93"/>
      <c r="Y26" s="93"/>
    </row>
    <row r="27" spans="1:25">
      <c r="A27" s="93"/>
      <c r="B27" s="93"/>
      <c r="C27" s="93"/>
      <c r="D27" s="93"/>
      <c r="E27" s="93"/>
      <c r="F27" s="93"/>
      <c r="G27" s="93"/>
      <c r="H27" s="93"/>
      <c r="I27" s="93"/>
      <c r="J27" s="93"/>
      <c r="K27" s="93"/>
      <c r="L27" s="93"/>
      <c r="M27" s="93"/>
      <c r="N27" s="93"/>
      <c r="O27" s="93"/>
      <c r="P27" s="93"/>
      <c r="Q27" s="93"/>
      <c r="R27" s="93"/>
      <c r="S27" s="93"/>
      <c r="T27" s="93"/>
      <c r="U27" s="93"/>
      <c r="V27" s="93"/>
      <c r="W27" s="93"/>
      <c r="X27" s="93"/>
      <c r="Y27" s="93"/>
    </row>
  </sheetData>
  <mergeCells count="1">
    <mergeCell ref="B2:J2"/>
  </mergeCells>
  <conditionalFormatting sqref="B5:J15">
    <cfRule type="expression" dxfId="7" priority="1">
      <formula>MOD(ROW(),2)</formula>
    </cfRule>
  </conditionalFormatting>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Calculator Instructions</vt:lpstr>
      <vt:lpstr>SVP HVAC Fan VSD Savings Calc</vt:lpstr>
      <vt:lpstr>Results Summary</vt:lpstr>
      <vt:lpstr>Fan Analysis</vt:lpstr>
      <vt:lpstr>Pump Analysis</vt:lpstr>
      <vt:lpstr>Throttling Valve Analysis</vt:lpstr>
      <vt:lpstr>Lookup Tables</vt:lpstr>
      <vt:lpstr>Pump Curves</vt:lpstr>
      <vt:lpstr>Fan Curves</vt:lpstr>
      <vt:lpstr>VFD Load Curves</vt:lpstr>
      <vt:lpstr>Throttling valve curves</vt:lpstr>
      <vt:lpstr>Fan_Control</vt:lpstr>
      <vt:lpstr>Fan_Curves</vt:lpstr>
      <vt:lpstr>FanRebate</vt:lpstr>
      <vt:lpstr>Flow_Control</vt:lpstr>
      <vt:lpstr>Load_Curves</vt:lpstr>
      <vt:lpstr>Motor_eff</vt:lpstr>
      <vt:lpstr>'Fan Analysis'!Print_Area</vt:lpstr>
      <vt:lpstr>'Pump Analysis'!Print_Area</vt:lpstr>
      <vt:lpstr>'Results Summary'!Print_Area</vt:lpstr>
      <vt:lpstr>Pump_Control</vt:lpstr>
      <vt:lpstr>Pump_Curves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Shamus Cunningham</dc:creator>
  <cp:lastModifiedBy>David Reynolds</cp:lastModifiedBy>
  <cp:lastPrinted>2017-06-19T20:07:03Z</cp:lastPrinted>
  <dcterms:created xsi:type="dcterms:W3CDTF">2012-10-30T14:32:19Z</dcterms:created>
  <dcterms:modified xsi:type="dcterms:W3CDTF">2017-06-19T20:07:52Z</dcterms:modified>
</cp:coreProperties>
</file>