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jpare\Desktop\Rebate Calculators\"/>
    </mc:Choice>
  </mc:AlternateContent>
  <xr:revisionPtr revIDLastSave="0" documentId="13_ncr:1_{68B438B5-CCE2-4ABF-9CC3-25EB9000A433}" xr6:coauthVersionLast="47" xr6:coauthVersionMax="47" xr10:uidLastSave="{00000000-0000-0000-0000-000000000000}"/>
  <workbookProtection workbookAlgorithmName="SHA-512" workbookHashValue="bmqG6CQPRksok3ZRfr4uBrC4KpNokRohgiCd7g+eVK8ViLB51NwdUl1yxxluHTkOAgXoVeJ6F5Z55AQcVgTkXA==" workbookSaltValue="h3zbDAXrAAijTgxS/uvSFA==" workbookSpinCount="100000" lockStructure="1"/>
  <bookViews>
    <workbookView xWindow="-120" yWindow="-120" windowWidth="29040" windowHeight="15840" firstSheet="3" activeTab="3" xr2:uid="{00000000-000D-0000-FFFF-FFFF00000000}"/>
  </bookViews>
  <sheets>
    <sheet name="ReadMe" sheetId="6" state="hidden" r:id="rId1"/>
    <sheet name="HVAC" sheetId="5" state="hidden" r:id="rId2"/>
    <sheet name="Heat Pumps" sheetId="3" state="hidden" r:id="rId3"/>
    <sheet name="Advanced Rooftop Controller" sheetId="8" r:id="rId4"/>
    <sheet name="Food Service Equipment" sheetId="9" state="hidden" r:id="rId5"/>
    <sheet name="Lighting" sheetId="10" state="hidden" r:id="rId6"/>
    <sheet name="Sheet4" sheetId="4" state="hidden" r:id="rId7"/>
  </sheets>
  <definedNames>
    <definedName name="Commercial_Freezer_Solid_Doorssize">Commercial_Freezer_Solid_Doors[Size]</definedName>
    <definedName name="Commercial_Ice_Machinesize">Commercial_Ice_Machine[Size]</definedName>
    <definedName name="Commercial_Refrigerator_Glass_Doorssize">Commercial_Refrigerator_Glass_Doors[Size]</definedName>
    <definedName name="Commercial_Refrigerator_Solid_Doorssize">Commercial_Refrigerator_Solid_Doors[Size]</definedName>
    <definedName name="Electric_Combination_Ovensize">Electric_Combination_Oven[Size]</definedName>
    <definedName name="Five_All_Other_All">HVAC!$CU$20:$CW$22</definedName>
    <definedName name="Five_All_Other_All_EER">HVAC!$CT$20:$CT$22</definedName>
    <definedName name="Five_All_Other_All_IEER">HVAC!$CU$19:$CW$19</definedName>
    <definedName name="Five_Electric_Resistance_None_All">HVAC!$CO$20:$CQ$22</definedName>
    <definedName name="Five_Electric_Resistance_None_All_EER">HVAC!$CN$20:$CN$22</definedName>
    <definedName name="Five_Electric_Resistance_None_All_IEER">HVAC!$CO$19:$CQ$19</definedName>
    <definedName name="Four_All_Other_All">HVAC!$CI$20:$CL$22</definedName>
    <definedName name="Four_All_Other_All_EER">HVAC!$CH$20:$CH$22</definedName>
    <definedName name="Four_All_Other_All_IEER">HVAC!$CI$19:$CL$19</definedName>
    <definedName name="Four_Electric_Resistance_None_All">HVAC!$CC$20:$CF$22</definedName>
    <definedName name="Four_Electric_Resistance_None_All_EER">HVAC!$CB$20:$CB$22</definedName>
    <definedName name="Four_Electric_Resistance_None_All_IEER">HVAC!$CC$19:$CF$19</definedName>
    <definedName name="Heating_Section">HVAC!$AP$5:$AP$7</definedName>
    <definedName name="HVAC_Units">HVAC!$AO$5:$AO$6</definedName>
    <definedName name="Insulated_Holding_Cabinetsize">Insulated_Holding_Cabinet[Size (Full or Half)]</definedName>
    <definedName name="LookupMeasures">'Food Service Equipment'!$AA$31:$AA$44</definedName>
    <definedName name="OLE_LINK1" localSheetId="2">'Heat Pumps'!$J$65</definedName>
    <definedName name="One_All_Single_Package">HVAC!$AY$20:$BB$22</definedName>
    <definedName name="One_All_Single_Package_EER">HVAC!$AX$20:$AX$22</definedName>
    <definedName name="One_All_Single_Package_SEER">HVAC!$AY$19:$BB$19</definedName>
    <definedName name="One_All_Split_System">HVAC!$AS$20:$AV$22</definedName>
    <definedName name="One_All_Split_System_EER">HVAC!$AR$20:$AR$22</definedName>
    <definedName name="One_All_Split_System_SEER">HVAC!$AS$19:$AV$19</definedName>
    <definedName name="Single_Package_Less_than_65000">'Heat Pumps'!$AR$27:$AT$28</definedName>
    <definedName name="Single_Package_Less_than_65000_EER">'Heat Pumps'!$AQ$27:$AQ$28</definedName>
    <definedName name="Single_Package_Less_than_65000_SEER">'Heat Pumps'!$AR$26:$AT$26</definedName>
    <definedName name="Split_System_Less_than_65000">'Heat Pumps'!$AR$20:$AT$22</definedName>
    <definedName name="Split_System_Less_than_65000_EER">'Heat Pumps'!$AQ$20:$AQ$22</definedName>
    <definedName name="Split_System_Less_than_65000_SEER">'Heat Pumps'!$AR$19:$AT$19</definedName>
    <definedName name="System_Type">HVAC!$AR$5:$AR$6</definedName>
    <definedName name="SystemType">'Heat Pumps'!$AQ$14:$AQ$15</definedName>
    <definedName name="Three_All_Other_All">HVAC!$BW$20:$BZ$22</definedName>
    <definedName name="Three_All_Other_All_EER">HVAC!$BV$20:$BV$22</definedName>
    <definedName name="Three_All_Other_All_IEER">HVAC!$BW$19:$BZ$19</definedName>
    <definedName name="Three_Electric_Resistance_None_All">HVAC!$BQ$20:$BT$22</definedName>
    <definedName name="Three_Electric_Resistance_None_All_EER">HVAC!$BP$20:$BP$22</definedName>
    <definedName name="Three_Electric_Resistance_None_All_IEER">HVAC!$BQ$19:$BT$19</definedName>
    <definedName name="Two_All_Other_All">HVAC!$BK$20:$BN$23</definedName>
    <definedName name="Two_All_Other_All_EER">HVAC!$BJ$20:$BJ$23</definedName>
    <definedName name="Two_All_Other_All_IEER">HVAC!$BK$19:$BN$19</definedName>
    <definedName name="Two_Electric_Resistance_None_All">HVAC!$BE$20:$BH$23</definedName>
    <definedName name="Two_Electric_Resistance_None_All_EER">HVAC!$BD$20:$BD$23</definedName>
    <definedName name="Two_Electric_Resistance_None_All_IEER">HVAC!$BE$19:$BH$19</definedName>
    <definedName name="Units">'Heat Pumps'!$AQ$5:$AQ$6</definedName>
    <definedName name="User_Measures_Dropdown">'Food Service Equipment'!$AC$31:$AC$44</definedName>
  </definedNames>
  <calcPr calcId="191029"/>
  <pivotCaches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8" l="1"/>
  <c r="F15" i="8" s="1"/>
  <c r="E16" i="8"/>
  <c r="F16" i="8" s="1"/>
  <c r="E17" i="8"/>
  <c r="F17" i="8" s="1"/>
  <c r="E18" i="8"/>
  <c r="F18" i="8" s="1"/>
  <c r="E19" i="8"/>
  <c r="F19" i="8" s="1"/>
  <c r="AE16" i="9" l="1"/>
  <c r="AE18" i="9"/>
  <c r="AE17" i="9"/>
  <c r="AE14" i="9" l="1"/>
  <c r="AC29" i="5" l="1"/>
  <c r="AC28" i="5"/>
  <c r="C19" i="9" l="1"/>
  <c r="E12" i="10" l="1"/>
  <c r="E13" i="10"/>
  <c r="E14" i="10"/>
  <c r="E15" i="10"/>
  <c r="D16" i="10"/>
  <c r="E16" i="10" l="1"/>
  <c r="AD29" i="5" l="1"/>
  <c r="AD28" i="5"/>
  <c r="H28" i="5" s="1"/>
  <c r="AC20" i="5" l="1"/>
  <c r="AC21" i="5"/>
  <c r="AC22" i="5"/>
  <c r="AC23" i="5"/>
  <c r="AC19" i="5"/>
  <c r="AD19" i="5" s="1"/>
  <c r="AE19" i="5" s="1"/>
  <c r="AD23" i="5" l="1"/>
  <c r="AG23" i="5" s="1"/>
  <c r="AD22" i="5"/>
  <c r="AG22" i="5" s="1"/>
  <c r="AD21" i="5"/>
  <c r="AG21" i="5" s="1"/>
  <c r="AD20" i="5"/>
  <c r="AG20" i="5" s="1"/>
  <c r="AG19" i="5"/>
  <c r="AF19" i="5"/>
  <c r="AC32" i="5"/>
  <c r="AC31" i="5"/>
  <c r="AC30" i="5"/>
  <c r="AE29" i="5"/>
  <c r="AE28" i="5"/>
  <c r="D41" i="3"/>
  <c r="AC18" i="3"/>
  <c r="AD18" i="3"/>
  <c r="AF29" i="5" l="1"/>
  <c r="J29" i="5" s="1"/>
  <c r="I29" i="5"/>
  <c r="AF28" i="5"/>
  <c r="J28" i="5" s="1"/>
  <c r="AF23" i="5"/>
  <c r="AE23" i="5"/>
  <c r="AF22" i="5"/>
  <c r="AE22" i="5"/>
  <c r="AF21" i="5"/>
  <c r="AE21" i="5"/>
  <c r="AF20" i="5"/>
  <c r="AE20" i="5"/>
  <c r="AH19" i="5"/>
  <c r="AI19" i="5"/>
  <c r="AD30" i="5"/>
  <c r="AE30" i="5" s="1"/>
  <c r="AD31" i="5"/>
  <c r="H31" i="5" s="1"/>
  <c r="AD32" i="5"/>
  <c r="AE32" i="5" s="1"/>
  <c r="AJ19" i="5"/>
  <c r="H29" i="5"/>
  <c r="AC37" i="3"/>
  <c r="AC38" i="3"/>
  <c r="AC39" i="3"/>
  <c r="AC40" i="3"/>
  <c r="AC36" i="3"/>
  <c r="AD36" i="3" s="1"/>
  <c r="AE36" i="3" s="1"/>
  <c r="H36" i="3" s="1"/>
  <c r="D32" i="3"/>
  <c r="AC28" i="3"/>
  <c r="AD28" i="3" s="1"/>
  <c r="AC29" i="3"/>
  <c r="AD29" i="3" s="1"/>
  <c r="AC30" i="3"/>
  <c r="AD30" i="3" s="1"/>
  <c r="AC31" i="3"/>
  <c r="AD31" i="3" s="1"/>
  <c r="AC27" i="3"/>
  <c r="AD27" i="3" s="1"/>
  <c r="AS25" i="5"/>
  <c r="AS24" i="5"/>
  <c r="AF32" i="5" l="1"/>
  <c r="J32" i="5" s="1"/>
  <c r="I32" i="5"/>
  <c r="I28" i="5"/>
  <c r="AD40" i="3"/>
  <c r="AE40" i="3" s="1"/>
  <c r="AD39" i="3"/>
  <c r="AE39" i="3" s="1"/>
  <c r="AD38" i="3"/>
  <c r="AE38" i="3" s="1"/>
  <c r="AD37" i="3"/>
  <c r="AE37" i="3" s="1"/>
  <c r="H32" i="5"/>
  <c r="AJ20" i="5"/>
  <c r="AI20" i="5"/>
  <c r="AH20" i="5"/>
  <c r="AJ22" i="5"/>
  <c r="AI22" i="5"/>
  <c r="AH22" i="5"/>
  <c r="AJ21" i="5"/>
  <c r="AI21" i="5"/>
  <c r="AH21" i="5"/>
  <c r="AJ23" i="5"/>
  <c r="AI23" i="5"/>
  <c r="AH23" i="5"/>
  <c r="H30" i="5"/>
  <c r="AF30" i="5"/>
  <c r="J30" i="5" s="1"/>
  <c r="AE31" i="5"/>
  <c r="AF36" i="3"/>
  <c r="I36" i="3" s="1"/>
  <c r="AG31" i="3"/>
  <c r="AG27" i="3"/>
  <c r="AS28" i="5"/>
  <c r="AS34" i="5"/>
  <c r="AS33" i="5"/>
  <c r="AS27" i="5"/>
  <c r="AS31" i="5"/>
  <c r="AS30" i="5"/>
  <c r="AK19" i="5"/>
  <c r="AS37" i="5"/>
  <c r="AS36" i="5"/>
  <c r="AL19" i="5" l="1"/>
  <c r="L19" i="5" s="1"/>
  <c r="AM19" i="5"/>
  <c r="AF37" i="3"/>
  <c r="I37" i="3" s="1"/>
  <c r="H37" i="3"/>
  <c r="AF38" i="3"/>
  <c r="I38" i="3" s="1"/>
  <c r="H38" i="3"/>
  <c r="AF39" i="3"/>
  <c r="I39" i="3" s="1"/>
  <c r="H39" i="3"/>
  <c r="AF40" i="3"/>
  <c r="I40" i="3" s="1"/>
  <c r="H40" i="3"/>
  <c r="AF31" i="5"/>
  <c r="J31" i="5" s="1"/>
  <c r="J33" i="5" s="1"/>
  <c r="I30" i="5"/>
  <c r="AG28" i="3"/>
  <c r="AF28" i="3"/>
  <c r="AE28" i="3"/>
  <c r="AF29" i="3"/>
  <c r="AG29" i="3"/>
  <c r="AE29" i="3"/>
  <c r="AF30" i="3"/>
  <c r="AG30" i="3"/>
  <c r="AE30" i="3"/>
  <c r="AF31" i="3"/>
  <c r="AE31" i="3"/>
  <c r="AF27" i="3"/>
  <c r="AE27" i="3"/>
  <c r="AK20" i="5"/>
  <c r="AK21" i="5"/>
  <c r="AK23" i="5"/>
  <c r="AK22" i="5"/>
  <c r="L20" i="5" l="1"/>
  <c r="L21" i="5"/>
  <c r="L22" i="5"/>
  <c r="K20" i="5"/>
  <c r="K21" i="5"/>
  <c r="K22" i="5"/>
  <c r="K19" i="5"/>
  <c r="AM23" i="5"/>
  <c r="K23" i="5" s="1"/>
  <c r="AM21" i="5"/>
  <c r="AM22" i="5"/>
  <c r="AM20" i="5"/>
  <c r="N19" i="5"/>
  <c r="M19" i="5"/>
  <c r="AL23" i="5"/>
  <c r="L23" i="5" s="1"/>
  <c r="AL22" i="5"/>
  <c r="AL21" i="5"/>
  <c r="AL20" i="5"/>
  <c r="I31" i="5"/>
  <c r="I41" i="3"/>
  <c r="AH27" i="3"/>
  <c r="AH30" i="3"/>
  <c r="AJ30" i="3" s="1"/>
  <c r="AH28" i="3"/>
  <c r="AJ28" i="3" s="1"/>
  <c r="AH29" i="3"/>
  <c r="AJ29" i="3" s="1"/>
  <c r="AH31" i="3"/>
  <c r="AJ31" i="3" s="1"/>
  <c r="J29" i="3" l="1"/>
  <c r="K29" i="3"/>
  <c r="L29" i="3"/>
  <c r="K31" i="3"/>
  <c r="J31" i="3"/>
  <c r="L31" i="3"/>
  <c r="K30" i="3"/>
  <c r="J30" i="3"/>
  <c r="L30" i="3"/>
  <c r="L28" i="3"/>
  <c r="M23" i="5"/>
  <c r="N23" i="5"/>
  <c r="M20" i="5"/>
  <c r="N20" i="5"/>
  <c r="M21" i="5"/>
  <c r="N21" i="5"/>
  <c r="M22" i="5"/>
  <c r="N22" i="5"/>
  <c r="AJ27" i="3"/>
  <c r="L27" i="3" s="1"/>
  <c r="J27" i="3"/>
  <c r="AI30" i="3"/>
  <c r="M30" i="3" s="1"/>
  <c r="AI27" i="3"/>
  <c r="M27" i="3" s="1"/>
  <c r="AI28" i="3"/>
  <c r="M28" i="3" s="1"/>
  <c r="AI29" i="3"/>
  <c r="M29" i="3" s="1"/>
  <c r="AI31" i="3"/>
  <c r="M31" i="3" s="1"/>
  <c r="J28" i="3" l="1"/>
  <c r="K27" i="3"/>
  <c r="K28" i="3"/>
  <c r="M32" i="3"/>
  <c r="L32" i="3"/>
  <c r="M24" i="5"/>
  <c r="N24" i="5"/>
  <c r="AD19" i="3"/>
  <c r="AF19" i="3" s="1"/>
  <c r="AD20" i="3"/>
  <c r="AD21" i="3"/>
  <c r="AF21" i="3" s="1"/>
  <c r="AD22" i="3"/>
  <c r="AC22" i="3"/>
  <c r="AC21" i="3"/>
  <c r="AC20" i="3"/>
  <c r="AC19" i="3"/>
  <c r="AH22" i="3"/>
  <c r="AI22" i="3" s="1"/>
  <c r="AH21" i="3"/>
  <c r="AK21" i="3" s="1"/>
  <c r="AH20" i="3"/>
  <c r="AI20" i="3" s="1"/>
  <c r="AH19" i="3"/>
  <c r="AK19" i="3" s="1"/>
  <c r="AW31" i="3"/>
  <c r="K19" i="3" l="1"/>
  <c r="L19" i="3"/>
  <c r="AK22" i="3"/>
  <c r="AI21" i="3"/>
  <c r="AJ21" i="3"/>
  <c r="AK20" i="3"/>
  <c r="AJ19" i="3"/>
  <c r="AI19" i="3"/>
  <c r="AJ20" i="3"/>
  <c r="AJ22" i="3"/>
  <c r="AW28" i="3"/>
  <c r="AW32" i="3"/>
  <c r="AW29" i="3"/>
  <c r="D23" i="3" l="1"/>
  <c r="AE21" i="3"/>
  <c r="AE22" i="3"/>
  <c r="AF22" i="3" l="1"/>
  <c r="AG22" i="3" s="1"/>
  <c r="AG21" i="3"/>
  <c r="AH18" i="3"/>
  <c r="AW25" i="3"/>
  <c r="AW26" i="3"/>
  <c r="AW22" i="3"/>
  <c r="AW23" i="3"/>
  <c r="AL21" i="3" l="1"/>
  <c r="M21" i="3" s="1"/>
  <c r="AM21" i="3"/>
  <c r="N21" i="3" s="1"/>
  <c r="AL22" i="3"/>
  <c r="M22" i="3" s="1"/>
  <c r="AM22" i="3"/>
  <c r="N22" i="3" s="1"/>
  <c r="AE20" i="3"/>
  <c r="AE19" i="3"/>
  <c r="L22" i="3" l="1"/>
  <c r="K22" i="3"/>
  <c r="L21" i="3"/>
  <c r="K21" i="3"/>
  <c r="AF20" i="3"/>
  <c r="AG20" i="3" s="1"/>
  <c r="AG19" i="3"/>
  <c r="AM19" i="3" s="1"/>
  <c r="AF18" i="9"/>
  <c r="AF17" i="9"/>
  <c r="AF16" i="9"/>
  <c r="AF15" i="9"/>
  <c r="AF14" i="9"/>
  <c r="AD18" i="9"/>
  <c r="AD17" i="9"/>
  <c r="AD16" i="9"/>
  <c r="H16" i="9" s="1"/>
  <c r="AD15" i="9"/>
  <c r="AD14" i="9"/>
  <c r="AC18" i="9"/>
  <c r="D18" i="9" s="1"/>
  <c r="AC17" i="9"/>
  <c r="D17" i="9" s="1"/>
  <c r="AC16" i="9"/>
  <c r="D16" i="9" s="1"/>
  <c r="AC15" i="9"/>
  <c r="D15" i="9" s="1"/>
  <c r="AC14" i="9"/>
  <c r="D14" i="9" s="1"/>
  <c r="AA18" i="9"/>
  <c r="AB18" i="9" s="1"/>
  <c r="AA17" i="9"/>
  <c r="AB17" i="9" s="1"/>
  <c r="AA16" i="9"/>
  <c r="AB16" i="9" s="1"/>
  <c r="AA15" i="9"/>
  <c r="AB15" i="9" s="1"/>
  <c r="AA14" i="9"/>
  <c r="F18" i="9"/>
  <c r="F17" i="9"/>
  <c r="F16" i="9"/>
  <c r="F15" i="9"/>
  <c r="F14" i="9"/>
  <c r="AL20" i="3" l="1"/>
  <c r="M20" i="3" s="1"/>
  <c r="AM20" i="3"/>
  <c r="N20" i="3" s="1"/>
  <c r="AL19" i="3"/>
  <c r="M19" i="3" s="1"/>
  <c r="N19" i="3"/>
  <c r="H17" i="9"/>
  <c r="G17" i="9"/>
  <c r="G16" i="9"/>
  <c r="H14" i="9"/>
  <c r="G14" i="9"/>
  <c r="AJ18" i="3"/>
  <c r="AI18" i="3"/>
  <c r="AK18" i="3"/>
  <c r="AE15" i="9"/>
  <c r="AW19" i="3"/>
  <c r="AW20" i="3"/>
  <c r="K20" i="3" l="1"/>
  <c r="L20" i="3"/>
  <c r="H18" i="9"/>
  <c r="G18" i="9"/>
  <c r="H15" i="9"/>
  <c r="G15" i="9"/>
  <c r="AB14" i="9"/>
  <c r="AE18" i="3"/>
  <c r="AF18" i="3" l="1"/>
  <c r="AG18" i="3" s="1"/>
  <c r="H19" i="9"/>
  <c r="D20" i="8"/>
  <c r="C25" i="8" s="1"/>
  <c r="AL18" i="3" l="1"/>
  <c r="M18" i="3" s="1"/>
  <c r="M23" i="3" s="1"/>
  <c r="AM18" i="3"/>
  <c r="N18" i="3" s="1"/>
  <c r="F20" i="8"/>
  <c r="D25" i="8" s="1"/>
  <c r="C20" i="8"/>
  <c r="K18" i="3" l="1"/>
  <c r="L18" i="3"/>
  <c r="N23" i="3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4" i="4"/>
  <c r="D27" i="4"/>
  <c r="E27" i="4" l="1"/>
</calcChain>
</file>

<file path=xl/sharedStrings.xml><?xml version="1.0" encoding="utf-8"?>
<sst xmlns="http://schemas.openxmlformats.org/spreadsheetml/2006/main" count="670" uniqueCount="325">
  <si>
    <t>Measure Name</t>
  </si>
  <si>
    <t>LED downlight fixture, 9-15 W, interior, replacing incand</t>
  </si>
  <si>
    <t>Assembly</t>
  </si>
  <si>
    <t>Primary School</t>
  </si>
  <si>
    <t>Secondary School</t>
  </si>
  <si>
    <t>Community College</t>
  </si>
  <si>
    <t>University</t>
  </si>
  <si>
    <t>Relocatable Classroom</t>
  </si>
  <si>
    <t>Grocery</t>
  </si>
  <si>
    <t>Hospital</t>
  </si>
  <si>
    <t>Nursing Home</t>
  </si>
  <si>
    <t>Hotel</t>
  </si>
  <si>
    <t>Motel</t>
  </si>
  <si>
    <t>Bio/Tech Manufacturing</t>
  </si>
  <si>
    <t>Light Industrial Manuf.</t>
  </si>
  <si>
    <t>Large Office</t>
  </si>
  <si>
    <t>Small Office</t>
  </si>
  <si>
    <t>Sit-Down Restaurant</t>
  </si>
  <si>
    <t>Fast-Food Restaurant</t>
  </si>
  <si>
    <t>Department Store</t>
  </si>
  <si>
    <t>Big Box Retail</t>
  </si>
  <si>
    <t>Small Retail</t>
  </si>
  <si>
    <t>Conditioned Storage</t>
  </si>
  <si>
    <t>Unconditioned Storage</t>
  </si>
  <si>
    <t>Refrigerated Warehouse</t>
  </si>
  <si>
    <t xml:space="preserve">LED downlight fixture, 9-15 W, interior, replacing (2) 2 W CFL </t>
  </si>
  <si>
    <t>LED downlight, screw-in lamp, 1-3 W, interior</t>
  </si>
  <si>
    <t>LED downlight, screw-in lamp, 4-20 W, interior</t>
  </si>
  <si>
    <t>LED MR16, pin-based lamp, interior</t>
  </si>
  <si>
    <t>LED troffer, 2'X2' and 2'X4'</t>
  </si>
  <si>
    <t>LED troffer retrofit kit, 2'X2' and 2'X4'</t>
  </si>
  <si>
    <t>LED high bay fixture</t>
  </si>
  <si>
    <t>LED low bay fixture</t>
  </si>
  <si>
    <t>Weighted Ave</t>
  </si>
  <si>
    <t>Row Labels</t>
  </si>
  <si>
    <t>Grand Total</t>
  </si>
  <si>
    <t>Sum of Annual kWh</t>
  </si>
  <si>
    <t>Weighted Average Savings</t>
  </si>
  <si>
    <t>Weighted Savings</t>
  </si>
  <si>
    <t>Rebate Amount</t>
  </si>
  <si>
    <t>Measure Description</t>
  </si>
  <si>
    <t>Total Rebate Amount</t>
  </si>
  <si>
    <t>Unit Capacity (tons)</t>
  </si>
  <si>
    <t>HVAC Unit #/Description</t>
  </si>
  <si>
    <t>Total</t>
  </si>
  <si>
    <t>Instructions for Using Rebate Calculator</t>
  </si>
  <si>
    <t>Transfer Below information into SVP Rebate Application Form</t>
  </si>
  <si>
    <t>7. Transfer the information to into the SVP rebate application form and submit a copy of this calculator.</t>
  </si>
  <si>
    <t>8. For equipment and program eligibility rules, see the SVP rebate application form.</t>
  </si>
  <si>
    <t>SVP Food Service Rebate Calculator</t>
  </si>
  <si>
    <t>Size</t>
  </si>
  <si>
    <t>Units</t>
  </si>
  <si>
    <t>Rebate Level</t>
  </si>
  <si>
    <t>Rebate Unit</t>
  </si>
  <si>
    <t>lbs. of ice per day</t>
  </si>
  <si>
    <t>per machine</t>
  </si>
  <si>
    <t>&gt;1,500</t>
  </si>
  <si>
    <t>Glass Door Beverage Cooler Controller</t>
  </si>
  <si>
    <t>per controller</t>
  </si>
  <si>
    <t>Commercial Refrigerator, Solid Doors</t>
  </si>
  <si>
    <t>&lt;15</t>
  </si>
  <si>
    <t>cubic feet</t>
  </si>
  <si>
    <t>per refrigerator</t>
  </si>
  <si>
    <t>&gt;50</t>
  </si>
  <si>
    <t>Commercial Freezer, Solid Doors</t>
  </si>
  <si>
    <t>per freezer</t>
  </si>
  <si>
    <t>Size (Full or Half)</t>
  </si>
  <si>
    <t>per cabinet</t>
  </si>
  <si>
    <t>Electric Combination Oven</t>
  </si>
  <si>
    <t>number of pans</t>
  </si>
  <si>
    <t>per oven</t>
  </si>
  <si>
    <t>&gt;28</t>
  </si>
  <si>
    <t>per steamer</t>
  </si>
  <si>
    <t>Electric Convection Oven</t>
  </si>
  <si>
    <t>Electric Fryer</t>
  </si>
  <si>
    <t>per vat</t>
  </si>
  <si>
    <t>Electric Griddle</t>
  </si>
  <si>
    <t>per foot</t>
  </si>
  <si>
    <t>Electronically Commutated (EC) Motor for Walk-In Cooler or Freezer</t>
  </si>
  <si>
    <t>per motor</t>
  </si>
  <si>
    <t>per exhaust fan hp</t>
  </si>
  <si>
    <t>Quantity</t>
  </si>
  <si>
    <t>Rebate per Unit</t>
  </si>
  <si>
    <t>Demand Control Kitchen Ventilation</t>
  </si>
  <si>
    <t>Insulated Holding Cabinet</t>
  </si>
  <si>
    <t>Commercial Ice Machine</t>
  </si>
  <si>
    <t>Commercial_Ice_Machine</t>
  </si>
  <si>
    <t>Commercial_Refrigerator_Solid_Doors</t>
  </si>
  <si>
    <t>Commercial_Freezer_Solid_Doors</t>
  </si>
  <si>
    <t>Commercial Refrigerator, Glass Doors</t>
  </si>
  <si>
    <t>Glass_Door_Beverage_Cooler_Controller</t>
  </si>
  <si>
    <t>Commercial_Refrigerator_Glass_Doors</t>
  </si>
  <si>
    <t>Insulated_Holding_Cabinet</t>
  </si>
  <si>
    <t>Electric_Combination_Oven</t>
  </si>
  <si>
    <t>Electric_Convection_Oven</t>
  </si>
  <si>
    <t>Electric_Fryer</t>
  </si>
  <si>
    <t>Electric_Griddle</t>
  </si>
  <si>
    <t>Electronically_Commutated_EC_Motor_for_WalkIn_Cooler_or_Freezer</t>
  </si>
  <si>
    <t>Demand_Control_Kitchen_Ventilation</t>
  </si>
  <si>
    <t>Lookup_Measures</t>
  </si>
  <si>
    <t>User_Measures_Dropdown</t>
  </si>
  <si>
    <t>Equipment Type</t>
  </si>
  <si>
    <t>HIDE User Measure Lookups</t>
  </si>
  <si>
    <t>User_Measure_Lookups</t>
  </si>
  <si>
    <t>100-300</t>
  </si>
  <si>
    <t>301-500</t>
  </si>
  <si>
    <t>501-1,000</t>
  </si>
  <si>
    <t>1,001-1,500</t>
  </si>
  <si>
    <t>15-29.9</t>
  </si>
  <si>
    <t>30-49.9</t>
  </si>
  <si>
    <t>15-28</t>
  </si>
  <si>
    <t>Size Unit</t>
  </si>
  <si>
    <t>HIDE Size Lookup</t>
  </si>
  <si>
    <t>Unit</t>
  </si>
  <si>
    <t>User_Unit_Lookup</t>
  </si>
  <si>
    <t>HIDE Unit Adj</t>
  </si>
  <si>
    <t>Size Units</t>
  </si>
  <si>
    <t>HIDE Rebate Level</t>
  </si>
  <si>
    <t>HIDE Rebate Unit</t>
  </si>
  <si>
    <t>Measure Category</t>
  </si>
  <si>
    <t>HIDE Measure Category</t>
  </si>
  <si>
    <t>Full or Half</t>
  </si>
  <si>
    <t>Half</t>
  </si>
  <si>
    <t>Full</t>
  </si>
  <si>
    <t>controllers</t>
  </si>
  <si>
    <t>cabinet</t>
  </si>
  <si>
    <t>steamers</t>
  </si>
  <si>
    <t>ovens</t>
  </si>
  <si>
    <t>vats</t>
  </si>
  <si>
    <t>motors</t>
  </si>
  <si>
    <t>machine(s)</t>
  </si>
  <si>
    <t>controller(s)</t>
  </si>
  <si>
    <t>refrigerator(s)</t>
  </si>
  <si>
    <t>freezer(s)</t>
  </si>
  <si>
    <t>cabinet(s)</t>
  </si>
  <si>
    <t>oven(s)</t>
  </si>
  <si>
    <t>steamer(s)</t>
  </si>
  <si>
    <t>vat(s)</t>
  </si>
  <si>
    <t>motor(s)</t>
  </si>
  <si>
    <t>hp</t>
  </si>
  <si>
    <t>Split System</t>
  </si>
  <si>
    <t>Single Package</t>
  </si>
  <si>
    <t>SEER</t>
  </si>
  <si>
    <t>Item #</t>
  </si>
  <si>
    <t>Make &amp; Model</t>
  </si>
  <si>
    <t># of Units</t>
  </si>
  <si>
    <t>EER</t>
  </si>
  <si>
    <t>SVP Heat Pump Rebate Calculator</t>
  </si>
  <si>
    <t>Unitary Heat Pumps</t>
  </si>
  <si>
    <t>Unit Size (tons or Btuh)</t>
  </si>
  <si>
    <t>Btuh</t>
  </si>
  <si>
    <t>&lt; 5.4 tons</t>
  </si>
  <si>
    <t>tons</t>
  </si>
  <si>
    <t>HSPF</t>
  </si>
  <si>
    <t>System Type</t>
  </si>
  <si>
    <t>NA</t>
  </si>
  <si>
    <t>Rebate ($/ton)</t>
  </si>
  <si>
    <t>HIDE Unit Size (tons)</t>
  </si>
  <si>
    <t>HIDE SEER/EER Tier</t>
  </si>
  <si>
    <t>HIDE HSPF Tier</t>
  </si>
  <si>
    <t>HIDE Rebate Tier</t>
  </si>
  <si>
    <t>HIDE System Type Lookup</t>
  </si>
  <si>
    <t>Split_System_Less_than_65000</t>
  </si>
  <si>
    <t>Lookups</t>
  </si>
  <si>
    <t>Split_System</t>
  </si>
  <si>
    <t>Single_Package</t>
  </si>
  <si>
    <t>1. Use the below table to estimate you potential rebate amount.</t>
  </si>
  <si>
    <t>HIDE System Tier Lookup</t>
  </si>
  <si>
    <t>HIDE System EER Lookup</t>
  </si>
  <si>
    <t>HIDE System SEER Lookup</t>
  </si>
  <si>
    <t>Single_Package_Less_than_65000</t>
  </si>
  <si>
    <t>Heat Pumps Less than 65000 Btuh</t>
  </si>
  <si>
    <t>Commercial Refrigerator Solid Doors</t>
  </si>
  <si>
    <t>Commercial Freezer Solid Doors</t>
  </si>
  <si>
    <t>Commercial Refrigerator Glass Doors</t>
  </si>
  <si>
    <t>Electronically Commutated EC Motor for  WalkIn Cooler or Freezer</t>
  </si>
  <si>
    <t>Row 1 EER Match</t>
  </si>
  <si>
    <t>Row 1 SEER Match</t>
  </si>
  <si>
    <t>Row 2 EER Match</t>
  </si>
  <si>
    <t>Row 2 SEER Match</t>
  </si>
  <si>
    <t>Row 3 EER Match</t>
  </si>
  <si>
    <t>Row 3 SEER Match</t>
  </si>
  <si>
    <t>Rebate</t>
  </si>
  <si>
    <t>1. Use the below table to estimate your potential rebate amount.</t>
  </si>
  <si>
    <t>linear ft. of Griddle</t>
  </si>
  <si>
    <t>linear ft. of griddle</t>
  </si>
  <si>
    <t>Equipment Types and Rebate Levels</t>
  </si>
  <si>
    <t>Row 4 EER Match</t>
  </si>
  <si>
    <t>Row 4 SEER Match</t>
  </si>
  <si>
    <t>Row 5 EER Match</t>
  </si>
  <si>
    <t>Row 5 SEER Match</t>
  </si>
  <si>
    <t>LOOKUPS</t>
  </si>
  <si>
    <t>&gt;= 5.4 tons</t>
  </si>
  <si>
    <t>IEER</t>
  </si>
  <si>
    <t>COP</t>
  </si>
  <si>
    <t>HIDE System Type</t>
  </si>
  <si>
    <t>Heat Pumps Greater than 65000 Btuh</t>
  </si>
  <si>
    <t>HIDE Unit Size (Btuh)</t>
  </si>
  <si>
    <t>HIDE Unit Size Group</t>
  </si>
  <si>
    <t>Unit Size Group</t>
  </si>
  <si>
    <t>Min EER</t>
  </si>
  <si>
    <t>Min IEER</t>
  </si>
  <si>
    <t>Min COP</t>
  </si>
  <si>
    <t>EER Eligibility</t>
  </si>
  <si>
    <t>IEER Eligibility</t>
  </si>
  <si>
    <t>COP Eligibility</t>
  </si>
  <si>
    <t>Size Units (tons or Btuh)</t>
  </si>
  <si>
    <t>HIDE Overall Eligibility</t>
  </si>
  <si>
    <t>Packaged Terminal Heat Pump</t>
  </si>
  <si>
    <t>1. Use the below tables to estimate your potential rebate amount.</t>
  </si>
  <si>
    <t>7. Transfer the information into the SVP rebate application form and submit a copy of this calculator.</t>
  </si>
  <si>
    <t>Packaged Terminal Air Conditioner</t>
  </si>
  <si>
    <t>Required EER</t>
  </si>
  <si>
    <t>SEER or IEER</t>
  </si>
  <si>
    <t>Unitary Air Conditioner, Air Cooled</t>
  </si>
  <si>
    <t>Heating Section Type</t>
  </si>
  <si>
    <t>SVP Air Conditioning Rebate Calculator</t>
  </si>
  <si>
    <t>2. The tables are based on unit type and size (rated cooling capacity of the unit).</t>
  </si>
  <si>
    <t>3. Enter the quantity of each unit make and model being installed.</t>
  </si>
  <si>
    <t>4. Enter the size in either tons or Btuh of rated capacity, then select the appropriate units.</t>
  </si>
  <si>
    <t>5. Enter the applicable AHRI rated efficiency for each unit (as listed in the manufacturer's technical specifications).</t>
  </si>
  <si>
    <t>2. Select the eligible equipment type.</t>
  </si>
  <si>
    <t>3. Enter the quantity of the equipment being installed. For demand control kitchen ventilation, enter the total fan horsepower for the exhaust hood being controlled.</t>
  </si>
  <si>
    <t>4. For certain equipment types, enter the size classification.</t>
  </si>
  <si>
    <t>5. Transfer the information into the SVP rebate application form and submit a copy of this calculator.</t>
  </si>
  <si>
    <t>6. For equipment and program eligibility rules, see the SVP rebate application form.</t>
  </si>
  <si>
    <t>Tab Name</t>
  </si>
  <si>
    <t>Description</t>
  </si>
  <si>
    <t>HVAC</t>
  </si>
  <si>
    <t>Heat Pumps</t>
  </si>
  <si>
    <t>Enhanced Ventilation Controls</t>
  </si>
  <si>
    <t>Food Service Equipment</t>
  </si>
  <si>
    <t>Lighting</t>
  </si>
  <si>
    <t>HVAC Rebate Application Form</t>
  </si>
  <si>
    <t>Heat Pump Rebate Application Form</t>
  </si>
  <si>
    <t>Food Service Equipment Rebate Form</t>
  </si>
  <si>
    <t>-</t>
  </si>
  <si>
    <t>Spreadsheet Content Table</t>
  </si>
  <si>
    <t xml:space="preserve">This spreadsheet allows SVP customers to easily estimate their potential rebate for installing energy efficient air conditioning equipment, food service equipment, and prescriptive LED lighting measures. </t>
  </si>
  <si>
    <t>Controller for a  packaged air conditioning unit that optimizes operation and varies supply fan airflow</t>
  </si>
  <si>
    <t>Energy efficient commercial kitchen equipment</t>
  </si>
  <si>
    <t>Unitary air cooled air conditioners and packaged terminal air conditioners</t>
  </si>
  <si>
    <t>Unitary air cooled heat pumps and packaged terminal heat pumps</t>
  </si>
  <si>
    <t>For the following LED troffer, low-bay, and high-bay lighting fixtures</t>
  </si>
  <si>
    <t xml:space="preserve">To apply for a rebate, transfer the information from the rebate calculator to the appropriate SVP rebate application form and submit the form for pre-approval. </t>
  </si>
  <si>
    <t xml:space="preserve">For equipment and program eligibility rules, please see the rebate application forms: </t>
  </si>
  <si>
    <t>Lighting Rebate Application Form</t>
  </si>
  <si>
    <t>HVAC Enhanced Ventilation Rebate Application Form</t>
  </si>
  <si>
    <t>Electric Resistance</t>
  </si>
  <si>
    <t>All Other</t>
  </si>
  <si>
    <t>None</t>
  </si>
  <si>
    <t>HIDE Heating Section Group</t>
  </si>
  <si>
    <t>HIDE System Type Group</t>
  </si>
  <si>
    <t>Electric_Resistance_None</t>
  </si>
  <si>
    <t>All_Other</t>
  </si>
  <si>
    <t>User Entered</t>
  </si>
  <si>
    <t>Lookup Group</t>
  </si>
  <si>
    <t>HIDE Indirect Lookups</t>
  </si>
  <si>
    <t>HIDE Indirect Lookups EER</t>
  </si>
  <si>
    <t>HIDE Indirect Lookups SEER/IEER</t>
  </si>
  <si>
    <t>One_All_Split_System</t>
  </si>
  <si>
    <t>One_All_Single_Package</t>
  </si>
  <si>
    <t>Two_Electric_Resistance_None_All</t>
  </si>
  <si>
    <t>Two_All_Other_All</t>
  </si>
  <si>
    <t>Three_Electric_Resistance_None_All</t>
  </si>
  <si>
    <t>Three_All_Other_All</t>
  </si>
  <si>
    <t>Four_Electric_Resistance_None_All</t>
  </si>
  <si>
    <t>Four_All_Other_All</t>
  </si>
  <si>
    <t>Five_Electric_Resistance_None_All</t>
  </si>
  <si>
    <t>Five_All_Other_All</t>
  </si>
  <si>
    <t>HIDE SEER/EER/IEER Tier</t>
  </si>
  <si>
    <t>Measure</t>
  </si>
  <si>
    <t>Rebate/Unit</t>
  </si>
  <si>
    <t>LED Troffer Fixture</t>
  </si>
  <si>
    <t>LED Low-Bay Fixture</t>
  </si>
  <si>
    <t>LED High-Bay Fixture &lt; 150 watts</t>
  </si>
  <si>
    <t>LED High-Bay Fixture &gt; 150 watts</t>
  </si>
  <si>
    <t>$40/fixture</t>
  </si>
  <si>
    <t>$100/fixture</t>
  </si>
  <si>
    <t>$200/fixture</t>
  </si>
  <si>
    <t>HIDE Incentive</t>
  </si>
  <si>
    <t>2. Enter the quantity of each type of fixture being installed</t>
  </si>
  <si>
    <t>3. Transfer the information into the SVP rebate application form and submit a copy of this calculator.</t>
  </si>
  <si>
    <t>4. For equipment and program eligibility rules, see the SVP rebate application form.</t>
  </si>
  <si>
    <t>6. For unitary units smaller than 5.4 tons, enter the EER and SEER ratings. For unitary units larger than 5.4 tons, enter the EER and IEER ratings.</t>
  </si>
  <si>
    <t>Unitary Air Conditioner Heating Type/System Lookup</t>
  </si>
  <si>
    <t>SVP LED Rebate Calculator</t>
  </si>
  <si>
    <t>&lt;100</t>
  </si>
  <si>
    <t>$130/fixture</t>
  </si>
  <si>
    <t>HIDE Rebate Level (AR)</t>
  </si>
  <si>
    <t>HIDE AR Rebate Level</t>
  </si>
  <si>
    <t xml:space="preserve">SVP Rebate Estimator - 2019-2020 Program </t>
  </si>
  <si>
    <t>Electric_Steam_Cooker_Single_Compartment</t>
  </si>
  <si>
    <t>Electric_Steam_Cooker_Two_Compartment</t>
  </si>
  <si>
    <t>Electric Steam Cooker - Single Compartment</t>
  </si>
  <si>
    <t>Electric Steam Cooker - Two Compartment</t>
  </si>
  <si>
    <t>Natural Replacement ($/ton)</t>
  </si>
  <si>
    <t>Accelerated Retirement ($/ton)</t>
  </si>
  <si>
    <t xml:space="preserve">Accelerated Retirement Rebate </t>
  </si>
  <si>
    <t>Natural Replacement Rebate</t>
  </si>
  <si>
    <r>
      <t xml:space="preserve">9. </t>
    </r>
    <r>
      <rPr>
        <b/>
        <sz val="11"/>
        <color rgb="FFFF0000"/>
        <rFont val="Arial"/>
        <family val="2"/>
      </rPr>
      <t>Accelerated Retirement Rebate</t>
    </r>
    <r>
      <rPr>
        <sz val="11"/>
        <color theme="1"/>
        <rFont val="Arial"/>
        <family val="2"/>
      </rPr>
      <t xml:space="preserve"> - see the HVAC Accelerated Retirement Rebate Application form for eligibility requirements.</t>
    </r>
  </si>
  <si>
    <t>10. Natural Replacement Rebate - see the HVAC Rebate Application form for eligibility requirements. The rebate level applies to all equipment that does not qualify for accelerated retirement.</t>
  </si>
  <si>
    <t>HVAC Accelerated Replacement Rebate Application Form</t>
  </si>
  <si>
    <t>Heat Pump Accelerated Replacement Rebate Application Form</t>
  </si>
  <si>
    <t>Natural Replacement Rebate ($/ton)</t>
  </si>
  <si>
    <t>Accelerated Retirement Rebate</t>
  </si>
  <si>
    <t>Rebate Levels - Natural Replacement</t>
  </si>
  <si>
    <r>
      <t xml:space="preserve">9. </t>
    </r>
    <r>
      <rPr>
        <b/>
        <sz val="11"/>
        <color rgb="FFFF0000"/>
        <rFont val="Arial"/>
        <family val="2"/>
      </rPr>
      <t>Accelerated Retirement Rebate</t>
    </r>
    <r>
      <rPr>
        <sz val="11"/>
        <color theme="1"/>
        <rFont val="Arial"/>
        <family val="2"/>
      </rPr>
      <t xml:space="preserve"> - see the Heat Pump Accelerated Retirement Rebate Application form for eligibility requirements.</t>
    </r>
  </si>
  <si>
    <t>10. Natural Replacement Rebate - see the Heat Pump Rebate Application form for eligibility requirements. The rebate level applies to all equipment that does not qualify for accelerated retirement.</t>
  </si>
  <si>
    <t>Natural Replacement  ($/ton)</t>
  </si>
  <si>
    <t>Rebate levels - Natural Replacement</t>
  </si>
  <si>
    <t>Rebate Levels - Accelerated Retirement</t>
  </si>
  <si>
    <t>Accelerated Retirement  ($/ton)</t>
  </si>
  <si>
    <t>Accelerated Retirement Rebate ($/ton)</t>
  </si>
  <si>
    <t>HIDE EER Eligibility</t>
  </si>
  <si>
    <t>Rebate levels - Accelerated Retirement</t>
  </si>
  <si>
    <t>HVAC Advanced Rooftop Controller</t>
  </si>
  <si>
    <t>Total Rebate</t>
  </si>
  <si>
    <t>3. Enter an HVAC unit number, description, or space type served by the HVAC unit.</t>
  </si>
  <si>
    <t>4. Enter the HVAC unit Capacity in Tons.</t>
  </si>
  <si>
    <t>6. Transfer the information to into the SVP rebate application form and submit a copy of this calculator.</t>
  </si>
  <si>
    <t>7. For equipment and program eligibility rules, see the SVP rebate application form.</t>
  </si>
  <si>
    <t>5. Enter the number of units.</t>
  </si>
  <si>
    <t>SVP HVAC Advanced Rooftop Controls Rebate Calculator</t>
  </si>
  <si>
    <t>2. List each HVAC unit size that will be retrofitted with eligible rooftop controls.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</si>
</sst>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"/>
    <numFmt numFmtId="165" formatCode="#,##0.0"/>
    <numFmt numFmtId="166" formatCode="&quot;$&quot;#,##0.00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4" tint="-0.49998474074526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.5"/>
      <color theme="1"/>
      <name val="Arial"/>
      <family val="2"/>
    </font>
    <font>
      <b/>
      <sz val="11"/>
      <color rgb="FFFF0000"/>
      <name val="Arial"/>
      <family val="2"/>
    </font>
    <font>
      <b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6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9" fontId="1" fillId="0" borderId="0" xfId="1" applyFont="1" applyAlignment="1">
      <alignment horizontal="center"/>
    </xf>
    <xf numFmtId="0" fontId="3" fillId="0" borderId="0" xfId="0" applyFont="1"/>
    <xf numFmtId="0" fontId="1" fillId="0" borderId="0" xfId="0" applyFont="1"/>
    <xf numFmtId="3" fontId="1" fillId="0" borderId="0" xfId="0" applyNumberFormat="1" applyFont="1" applyFill="1"/>
    <xf numFmtId="0" fontId="0" fillId="5" borderId="0" xfId="0" applyFill="1"/>
    <xf numFmtId="3" fontId="1" fillId="0" borderId="0" xfId="0" quotePrefix="1" applyNumberFormat="1" applyFont="1"/>
    <xf numFmtId="3" fontId="1" fillId="6" borderId="0" xfId="0" applyNumberFormat="1" applyFont="1" applyFill="1" applyAlignment="1">
      <alignment horizontal="center"/>
    </xf>
    <xf numFmtId="164" fontId="0" fillId="0" borderId="0" xfId="0" applyNumberFormat="1" applyBorder="1" applyAlignment="1">
      <alignment horizontal="center"/>
    </xf>
    <xf numFmtId="3" fontId="1" fillId="4" borderId="0" xfId="0" applyNumberFormat="1" applyFont="1" applyFill="1" applyBorder="1"/>
    <xf numFmtId="3" fontId="1" fillId="4" borderId="14" xfId="0" applyNumberFormat="1" applyFont="1" applyFill="1" applyBorder="1"/>
    <xf numFmtId="3" fontId="1" fillId="4" borderId="13" xfId="0" applyNumberFormat="1" applyFont="1" applyFill="1" applyBorder="1"/>
    <xf numFmtId="3" fontId="1" fillId="4" borderId="0" xfId="0" applyNumberFormat="1" applyFont="1" applyFill="1" applyBorder="1" applyAlignment="1">
      <alignment wrapText="1"/>
    </xf>
    <xf numFmtId="3" fontId="1" fillId="4" borderId="15" xfId="0" applyNumberFormat="1" applyFont="1" applyFill="1" applyBorder="1"/>
    <xf numFmtId="3" fontId="6" fillId="4" borderId="0" xfId="0" applyNumberFormat="1" applyFont="1" applyFill="1" applyBorder="1"/>
    <xf numFmtId="3" fontId="1" fillId="2" borderId="1" xfId="0" applyNumberFormat="1" applyFont="1" applyFill="1" applyBorder="1"/>
    <xf numFmtId="3" fontId="6" fillId="3" borderId="1" xfId="0" applyNumberFormat="1" applyFont="1" applyFill="1" applyBorder="1"/>
    <xf numFmtId="3" fontId="1" fillId="0" borderId="0" xfId="0" applyNumberFormat="1" applyFont="1" applyBorder="1"/>
    <xf numFmtId="0" fontId="0" fillId="5" borderId="0" xfId="0" applyFill="1" applyAlignment="1">
      <alignment horizontal="left"/>
    </xf>
    <xf numFmtId="0" fontId="0" fillId="0" borderId="0" xfId="0" applyAlignment="1">
      <alignment horizont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center"/>
    </xf>
    <xf numFmtId="166" fontId="5" fillId="0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3" borderId="2" xfId="0" applyNumberFormat="1" applyFont="1" applyFill="1" applyBorder="1"/>
    <xf numFmtId="3" fontId="6" fillId="3" borderId="3" xfId="0" applyNumberFormat="1" applyFont="1" applyFill="1" applyBorder="1"/>
    <xf numFmtId="0" fontId="7" fillId="0" borderId="0" xfId="0" applyFont="1"/>
    <xf numFmtId="0" fontId="0" fillId="6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3" fontId="1" fillId="4" borderId="0" xfId="0" applyNumberFormat="1" applyFont="1" applyFill="1" applyBorder="1" applyAlignment="1">
      <alignment horizontal="center"/>
    </xf>
    <xf numFmtId="3" fontId="1" fillId="10" borderId="0" xfId="0" applyNumberFormat="1" applyFont="1" applyFill="1"/>
    <xf numFmtId="166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7" fillId="0" borderId="0" xfId="0" applyFont="1" applyAlignment="1">
      <alignment horizontal="left" wrapText="1"/>
    </xf>
    <xf numFmtId="165" fontId="1" fillId="0" borderId="0" xfId="0" applyNumberFormat="1" applyFont="1" applyFill="1"/>
    <xf numFmtId="3" fontId="1" fillId="4" borderId="0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left"/>
    </xf>
    <xf numFmtId="0" fontId="1" fillId="4" borderId="0" xfId="0" applyFont="1" applyFill="1" applyBorder="1" applyAlignment="1">
      <alignment horizontal="center" vertical="center"/>
    </xf>
    <xf numFmtId="166" fontId="1" fillId="4" borderId="0" xfId="0" applyNumberFormat="1" applyFont="1" applyFill="1" applyBorder="1" applyAlignment="1">
      <alignment horizontal="center" vertical="center"/>
    </xf>
    <xf numFmtId="3" fontId="1" fillId="4" borderId="14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3" fontId="1" fillId="4" borderId="0" xfId="0" applyNumberFormat="1" applyFont="1" applyFill="1" applyBorder="1" applyAlignment="1">
      <alignment horizontal="left"/>
    </xf>
    <xf numFmtId="0" fontId="0" fillId="4" borderId="0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3" fontId="5" fillId="4" borderId="0" xfId="0" applyNumberFormat="1" applyFont="1" applyFill="1" applyBorder="1" applyAlignment="1"/>
    <xf numFmtId="3" fontId="1" fillId="4" borderId="16" xfId="0" applyNumberFormat="1" applyFont="1" applyFill="1" applyBorder="1" applyAlignment="1">
      <alignment horizontal="center"/>
    </xf>
    <xf numFmtId="3" fontId="1" fillId="4" borderId="17" xfId="0" applyNumberFormat="1" applyFont="1" applyFill="1" applyBorder="1" applyAlignment="1">
      <alignment horizontal="center"/>
    </xf>
    <xf numFmtId="3" fontId="1" fillId="4" borderId="16" xfId="0" applyNumberFormat="1" applyFont="1" applyFill="1" applyBorder="1" applyAlignment="1">
      <alignment horizontal="left"/>
    </xf>
    <xf numFmtId="167" fontId="0" fillId="3" borderId="0" xfId="0" applyNumberFormat="1" applyFill="1" applyAlignment="1">
      <alignment horizontal="center"/>
    </xf>
    <xf numFmtId="167" fontId="0" fillId="8" borderId="0" xfId="0" applyNumberFormat="1" applyFill="1"/>
    <xf numFmtId="0" fontId="7" fillId="0" borderId="0" xfId="0" applyFont="1" applyAlignment="1">
      <alignment horizontal="left"/>
    </xf>
    <xf numFmtId="3" fontId="1" fillId="6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/>
    <xf numFmtId="0" fontId="4" fillId="3" borderId="2" xfId="0" applyFont="1" applyFill="1" applyBorder="1"/>
    <xf numFmtId="0" fontId="3" fillId="3" borderId="3" xfId="0" applyFont="1" applyFill="1" applyBorder="1"/>
    <xf numFmtId="0" fontId="3" fillId="5" borderId="20" xfId="0" applyFont="1" applyFill="1" applyBorder="1"/>
    <xf numFmtId="0" fontId="3" fillId="5" borderId="21" xfId="0" applyFont="1" applyFill="1" applyBorder="1"/>
    <xf numFmtId="0" fontId="3" fillId="5" borderId="22" xfId="0" applyFont="1" applyFill="1" applyBorder="1"/>
    <xf numFmtId="0" fontId="3" fillId="5" borderId="13" xfId="0" applyFont="1" applyFill="1" applyBorder="1"/>
    <xf numFmtId="0" fontId="3" fillId="5" borderId="0" xfId="0" applyFont="1" applyFill="1" applyBorder="1" applyAlignment="1">
      <alignment vertical="top"/>
    </xf>
    <xf numFmtId="0" fontId="3" fillId="5" borderId="14" xfId="0" applyFont="1" applyFill="1" applyBorder="1"/>
    <xf numFmtId="0" fontId="3" fillId="5" borderId="0" xfId="0" applyFont="1" applyFill="1" applyBorder="1" applyAlignment="1">
      <alignment horizontal="right" vertical="top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9" fillId="0" borderId="0" xfId="0" applyFont="1" applyFill="1" applyBorder="1"/>
    <xf numFmtId="0" fontId="3" fillId="7" borderId="0" xfId="0" applyFont="1" applyFill="1" applyBorder="1" applyAlignment="1">
      <alignment horizontal="left" vertical="top"/>
    </xf>
    <xf numFmtId="0" fontId="3" fillId="7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/>
    </xf>
    <xf numFmtId="0" fontId="3" fillId="5" borderId="15" xfId="0" applyFont="1" applyFill="1" applyBorder="1"/>
    <xf numFmtId="0" fontId="3" fillId="5" borderId="16" xfId="0" applyFont="1" applyFill="1" applyBorder="1"/>
    <xf numFmtId="0" fontId="3" fillId="5" borderId="17" xfId="0" applyFont="1" applyFill="1" applyBorder="1"/>
    <xf numFmtId="0" fontId="1" fillId="6" borderId="0" xfId="0" applyFont="1" applyFill="1" applyAlignment="1">
      <alignment horizontal="center"/>
    </xf>
    <xf numFmtId="0" fontId="1" fillId="0" borderId="0" xfId="0" applyFont="1" applyAlignment="1"/>
    <xf numFmtId="0" fontId="0" fillId="6" borderId="0" xfId="0" applyFill="1" applyAlignment="1">
      <alignment horizontal="center"/>
    </xf>
    <xf numFmtId="0" fontId="7" fillId="0" borderId="0" xfId="0" applyFont="1" applyAlignment="1"/>
    <xf numFmtId="3" fontId="1" fillId="0" borderId="0" xfId="0" applyNumberFormat="1" applyFont="1" applyFill="1" applyAlignment="1"/>
    <xf numFmtId="165" fontId="1" fillId="0" borderId="0" xfId="0" applyNumberFormat="1" applyFont="1" applyFill="1" applyAlignment="1"/>
    <xf numFmtId="0" fontId="0" fillId="0" borderId="0" xfId="0" applyFill="1" applyAlignment="1"/>
    <xf numFmtId="0" fontId="0" fillId="4" borderId="13" xfId="0" applyFill="1" applyBorder="1"/>
    <xf numFmtId="0" fontId="0" fillId="4" borderId="0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3" fillId="4" borderId="0" xfId="0" applyFont="1" applyFill="1" applyBorder="1"/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164" fontId="3" fillId="7" borderId="4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164" fontId="3" fillId="7" borderId="11" xfId="0" applyNumberFormat="1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0" borderId="7" xfId="0" applyFont="1" applyBorder="1"/>
    <xf numFmtId="164" fontId="3" fillId="7" borderId="10" xfId="0" applyNumberFormat="1" applyFont="1" applyFill="1" applyBorder="1" applyAlignment="1">
      <alignment horizontal="left"/>
    </xf>
    <xf numFmtId="0" fontId="3" fillId="7" borderId="5" xfId="0" applyFont="1" applyFill="1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165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3" fillId="7" borderId="5" xfId="0" applyNumberFormat="1" applyFont="1" applyFill="1" applyBorder="1"/>
    <xf numFmtId="49" fontId="3" fillId="7" borderId="5" xfId="0" applyNumberFormat="1" applyFont="1" applyFill="1" applyBorder="1" applyAlignment="1">
      <alignment horizontal="center"/>
    </xf>
    <xf numFmtId="49" fontId="3" fillId="0" borderId="10" xfId="0" applyNumberFormat="1" applyFont="1" applyBorder="1"/>
    <xf numFmtId="49" fontId="3" fillId="0" borderId="10" xfId="0" applyNumberFormat="1" applyFont="1" applyBorder="1" applyAlignment="1">
      <alignment horizontal="center"/>
    </xf>
    <xf numFmtId="0" fontId="3" fillId="7" borderId="10" xfId="0" applyFont="1" applyFill="1" applyBorder="1"/>
    <xf numFmtId="0" fontId="4" fillId="2" borderId="2" xfId="0" applyFont="1" applyFill="1" applyBorder="1" applyAlignment="1">
      <alignment horizontal="left"/>
    </xf>
    <xf numFmtId="0" fontId="5" fillId="0" borderId="0" xfId="0" applyFont="1" applyAlignment="1"/>
    <xf numFmtId="0" fontId="0" fillId="2" borderId="3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3" fontId="3" fillId="4" borderId="0" xfId="0" applyNumberFormat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right"/>
    </xf>
    <xf numFmtId="3" fontId="3" fillId="4" borderId="0" xfId="0" applyNumberFormat="1" applyFont="1" applyFill="1" applyBorder="1"/>
    <xf numFmtId="3" fontId="9" fillId="9" borderId="12" xfId="0" applyNumberFormat="1" applyFont="1" applyFill="1" applyBorder="1" applyAlignment="1">
      <alignment horizontal="left"/>
    </xf>
    <xf numFmtId="3" fontId="9" fillId="9" borderId="19" xfId="0" applyNumberFormat="1" applyFont="1" applyFill="1" applyBorder="1" applyAlignment="1">
      <alignment horizontal="left"/>
    </xf>
    <xf numFmtId="3" fontId="9" fillId="9" borderId="10" xfId="0" applyNumberFormat="1" applyFont="1" applyFill="1" applyBorder="1" applyAlignment="1">
      <alignment horizontal="left"/>
    </xf>
    <xf numFmtId="166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166" fontId="9" fillId="3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vertical="center" wrapText="1"/>
    </xf>
    <xf numFmtId="166" fontId="9" fillId="0" borderId="0" xfId="0" applyNumberFormat="1" applyFont="1" applyBorder="1" applyAlignment="1"/>
    <xf numFmtId="166" fontId="9" fillId="0" borderId="0" xfId="0" applyNumberFormat="1" applyFont="1" applyBorder="1" applyAlignment="1">
      <alignment horizontal="right" vertical="center" wrapText="1"/>
    </xf>
    <xf numFmtId="0" fontId="1" fillId="3" borderId="3" xfId="0" applyFont="1" applyFill="1" applyBorder="1" applyAlignment="1"/>
    <xf numFmtId="0" fontId="1" fillId="0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4" borderId="13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/>
    <xf numFmtId="0" fontId="1" fillId="4" borderId="14" xfId="0" applyFont="1" applyFill="1" applyBorder="1" applyAlignment="1"/>
    <xf numFmtId="0" fontId="1" fillId="4" borderId="15" xfId="0" applyFont="1" applyFill="1" applyBorder="1" applyAlignment="1"/>
    <xf numFmtId="0" fontId="1" fillId="4" borderId="16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/>
    <xf numFmtId="0" fontId="1" fillId="4" borderId="17" xfId="0" applyFont="1" applyFill="1" applyBorder="1" applyAlignment="1"/>
    <xf numFmtId="3" fontId="1" fillId="7" borderId="0" xfId="0" applyNumberFormat="1" applyFont="1" applyFill="1" applyBorder="1" applyAlignment="1">
      <alignment horizontal="center" vertical="center"/>
    </xf>
    <xf numFmtId="3" fontId="1" fillId="7" borderId="0" xfId="0" applyNumberFormat="1" applyFont="1" applyFill="1" applyBorder="1" applyAlignment="1" applyProtection="1">
      <alignment horizontal="center" vertical="center" wrapText="1"/>
      <protection locked="0"/>
    </xf>
    <xf numFmtId="165" fontId="1" fillId="7" borderId="0" xfId="0" applyNumberFormat="1" applyFont="1" applyFill="1" applyBorder="1" applyAlignment="1" applyProtection="1">
      <alignment horizontal="center" vertical="center" wrapText="1"/>
      <protection locked="0"/>
    </xf>
    <xf numFmtId="3" fontId="1" fillId="5" borderId="0" xfId="0" applyNumberFormat="1" applyFont="1" applyFill="1" applyBorder="1" applyAlignment="1">
      <alignment horizontal="center" vertical="center" wrapText="1"/>
    </xf>
    <xf numFmtId="166" fontId="1" fillId="5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 applyProtection="1">
      <alignment horizontal="center" vertical="center" wrapText="1"/>
      <protection locked="0"/>
    </xf>
    <xf numFmtId="165" fontId="1" fillId="0" borderId="0" xfId="0" applyNumberFormat="1" applyFont="1" applyBorder="1" applyAlignment="1" applyProtection="1">
      <alignment horizontal="center" vertical="center" wrapText="1"/>
      <protection locked="0"/>
    </xf>
    <xf numFmtId="166" fontId="1" fillId="5" borderId="0" xfId="0" applyNumberFormat="1" applyFont="1" applyFill="1" applyBorder="1" applyAlignment="1">
      <alignment horizontal="right" vertical="center"/>
    </xf>
    <xf numFmtId="3" fontId="1" fillId="7" borderId="0" xfId="0" applyNumberFormat="1" applyFont="1" applyFill="1" applyBorder="1" applyAlignment="1" applyProtection="1">
      <alignment horizontal="center" vertical="center"/>
      <protection locked="0"/>
    </xf>
    <xf numFmtId="165" fontId="1" fillId="7" borderId="0" xfId="0" applyNumberFormat="1" applyFont="1" applyFill="1" applyBorder="1" applyAlignment="1" applyProtection="1">
      <alignment horizontal="center" vertical="center"/>
      <protection locked="0"/>
    </xf>
    <xf numFmtId="3" fontId="10" fillId="5" borderId="0" xfId="0" applyNumberFormat="1" applyFont="1" applyFill="1" applyBorder="1" applyAlignment="1">
      <alignment horizontal="center" vertical="center" wrapText="1"/>
    </xf>
    <xf numFmtId="166" fontId="10" fillId="5" borderId="0" xfId="0" applyNumberFormat="1" applyFont="1" applyFill="1" applyBorder="1" applyAlignment="1"/>
    <xf numFmtId="3" fontId="1" fillId="0" borderId="0" xfId="0" applyNumberFormat="1" applyFont="1" applyBorder="1" applyAlignment="1" applyProtection="1">
      <alignment horizontal="center" vertical="center"/>
      <protection locked="0"/>
    </xf>
    <xf numFmtId="165" fontId="1" fillId="0" borderId="0" xfId="0" applyNumberFormat="1" applyFont="1" applyBorder="1" applyAlignment="1" applyProtection="1">
      <alignment horizontal="center" vertical="center"/>
      <protection locked="0"/>
    </xf>
    <xf numFmtId="165" fontId="11" fillId="7" borderId="0" xfId="0" applyNumberFormat="1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>
      <alignment horizontal="center" vertical="center" wrapText="1"/>
    </xf>
    <xf numFmtId="166" fontId="1" fillId="5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7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3" fontId="1" fillId="4" borderId="0" xfId="0" applyNumberFormat="1" applyFont="1" applyFill="1" applyBorder="1" applyAlignment="1">
      <alignment horizontal="center"/>
    </xf>
    <xf numFmtId="3" fontId="9" fillId="9" borderId="18" xfId="0" applyNumberFormat="1" applyFont="1" applyFill="1" applyBorder="1" applyAlignment="1">
      <alignment horizontal="left"/>
    </xf>
    <xf numFmtId="3" fontId="9" fillId="9" borderId="5" xfId="0" applyNumberFormat="1" applyFont="1" applyFill="1" applyBorder="1" applyAlignment="1">
      <alignment horizontal="left"/>
    </xf>
    <xf numFmtId="3" fontId="1" fillId="4" borderId="0" xfId="0" applyNumberFormat="1" applyFont="1" applyFill="1" applyBorder="1" applyAlignment="1">
      <alignment horizontal="center"/>
    </xf>
    <xf numFmtId="166" fontId="1" fillId="5" borderId="23" xfId="0" applyNumberFormat="1" applyFont="1" applyFill="1" applyBorder="1" applyAlignment="1">
      <alignment horizontal="right" vertical="center"/>
    </xf>
    <xf numFmtId="3" fontId="9" fillId="9" borderId="18" xfId="0" applyNumberFormat="1" applyFont="1" applyFill="1" applyBorder="1" applyAlignment="1"/>
    <xf numFmtId="166" fontId="1" fillId="5" borderId="0" xfId="0" applyNumberFormat="1" applyFont="1" applyFill="1" applyBorder="1" applyAlignment="1">
      <alignment horizontal="center" vertical="center"/>
    </xf>
    <xf numFmtId="166" fontId="1" fillId="5" borderId="0" xfId="0" applyNumberFormat="1" applyFont="1" applyFill="1" applyBorder="1" applyAlignment="1" applyProtection="1">
      <alignment horizontal="right" vertical="center"/>
      <protection locked="0"/>
    </xf>
    <xf numFmtId="3" fontId="9" fillId="10" borderId="24" xfId="0" applyNumberFormat="1" applyFont="1" applyFill="1" applyBorder="1" applyAlignment="1">
      <alignment horizontal="center" vertical="center" wrapText="1"/>
    </xf>
    <xf numFmtId="3" fontId="9" fillId="9" borderId="6" xfId="0" applyNumberFormat="1" applyFont="1" applyFill="1" applyBorder="1" applyAlignment="1"/>
    <xf numFmtId="3" fontId="1" fillId="4" borderId="0" xfId="0" applyNumberFormat="1" applyFont="1" applyFill="1" applyBorder="1" applyAlignment="1">
      <alignment horizontal="center"/>
    </xf>
    <xf numFmtId="3" fontId="9" fillId="4" borderId="0" xfId="0" applyNumberFormat="1" applyFont="1" applyFill="1" applyBorder="1" applyAlignment="1">
      <alignment horizontal="center"/>
    </xf>
    <xf numFmtId="166" fontId="9" fillId="4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" fontId="1" fillId="7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Border="1" applyAlignment="1">
      <alignment horizontal="center" vertical="center"/>
    </xf>
    <xf numFmtId="0" fontId="14" fillId="0" borderId="0" xfId="0" applyFont="1" applyAlignment="1"/>
    <xf numFmtId="3" fontId="1" fillId="4" borderId="0" xfId="0" applyNumberFormat="1" applyFont="1" applyFill="1" applyAlignment="1">
      <alignment horizontal="center"/>
    </xf>
    <xf numFmtId="3" fontId="14" fillId="0" borderId="0" xfId="0" applyNumberFormat="1" applyFont="1" applyAlignment="1">
      <alignment horizontal="left"/>
    </xf>
    <xf numFmtId="0" fontId="4" fillId="2" borderId="2" xfId="0" applyFont="1" applyFill="1" applyBorder="1" applyProtection="1">
      <protection hidden="1"/>
    </xf>
    <xf numFmtId="3" fontId="1" fillId="2" borderId="2" xfId="0" applyNumberFormat="1" applyFont="1" applyFill="1" applyBorder="1" applyProtection="1">
      <protection hidden="1"/>
    </xf>
    <xf numFmtId="3" fontId="1" fillId="2" borderId="3" xfId="0" applyNumberFormat="1" applyFont="1" applyFill="1" applyBorder="1" applyProtection="1">
      <protection hidden="1"/>
    </xf>
    <xf numFmtId="0" fontId="5" fillId="4" borderId="0" xfId="0" applyFont="1" applyFill="1" applyBorder="1" applyProtection="1">
      <protection hidden="1"/>
    </xf>
    <xf numFmtId="3" fontId="1" fillId="4" borderId="0" xfId="0" applyNumberFormat="1" applyFont="1" applyFill="1" applyBorder="1" applyProtection="1">
      <protection hidden="1"/>
    </xf>
    <xf numFmtId="3" fontId="1" fillId="4" borderId="14" xfId="0" applyNumberFormat="1" applyFont="1" applyFill="1" applyBorder="1" applyProtection="1">
      <protection hidden="1"/>
    </xf>
    <xf numFmtId="3" fontId="6" fillId="4" borderId="0" xfId="0" applyNumberFormat="1" applyFont="1" applyFill="1" applyBorder="1" applyProtection="1">
      <protection hidden="1"/>
    </xf>
    <xf numFmtId="3" fontId="6" fillId="3" borderId="1" xfId="0" applyNumberFormat="1" applyFont="1" applyFill="1" applyBorder="1" applyProtection="1">
      <protection hidden="1"/>
    </xf>
    <xf numFmtId="3" fontId="1" fillId="3" borderId="2" xfId="0" applyNumberFormat="1" applyFont="1" applyFill="1" applyBorder="1" applyProtection="1">
      <protection hidden="1"/>
    </xf>
    <xf numFmtId="3" fontId="1" fillId="3" borderId="3" xfId="0" applyNumberFormat="1" applyFont="1" applyFill="1" applyBorder="1" applyProtection="1">
      <protection hidden="1"/>
    </xf>
    <xf numFmtId="3" fontId="9" fillId="0" borderId="0" xfId="0" applyNumberFormat="1" applyFont="1" applyBorder="1" applyAlignment="1" applyProtection="1">
      <alignment horizontal="center" vertical="center" wrapText="1"/>
      <protection hidden="1"/>
    </xf>
    <xf numFmtId="164" fontId="1" fillId="5" borderId="0" xfId="0" applyNumberFormat="1" applyFont="1" applyFill="1" applyBorder="1" applyAlignment="1" applyProtection="1">
      <alignment horizontal="center" vertical="center"/>
      <protection hidden="1"/>
    </xf>
    <xf numFmtId="166" fontId="1" fillId="5" borderId="0" xfId="0" applyNumberFormat="1" applyFont="1" applyFill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6" fontId="9" fillId="0" borderId="0" xfId="0" applyNumberFormat="1" applyFont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3" fontId="9" fillId="2" borderId="4" xfId="0" applyNumberFormat="1" applyFont="1" applyFill="1" applyBorder="1" applyAlignment="1" applyProtection="1">
      <alignment horizontal="center" wrapText="1"/>
      <protection hidden="1"/>
    </xf>
    <xf numFmtId="3" fontId="1" fillId="4" borderId="0" xfId="0" applyNumberFormat="1" applyFont="1" applyFill="1" applyProtection="1">
      <protection hidden="1"/>
    </xf>
    <xf numFmtId="3" fontId="3" fillId="5" borderId="4" xfId="0" applyNumberFormat="1" applyFont="1" applyFill="1" applyBorder="1" applyAlignment="1" applyProtection="1">
      <alignment horizontal="center" vertical="center"/>
      <protection hidden="1"/>
    </xf>
    <xf numFmtId="164" fontId="3" fillId="5" borderId="4" xfId="0" applyNumberFormat="1" applyFont="1" applyFill="1" applyBorder="1" applyAlignment="1" applyProtection="1">
      <alignment horizontal="center" vertical="center"/>
      <protection hidden="1"/>
    </xf>
    <xf numFmtId="3" fontId="1" fillId="4" borderId="16" xfId="0" applyNumberFormat="1" applyFont="1" applyFill="1" applyBorder="1" applyProtection="1">
      <protection hidden="1"/>
    </xf>
    <xf numFmtId="3" fontId="1" fillId="4" borderId="17" xfId="0" applyNumberFormat="1" applyFont="1" applyFill="1" applyBorder="1" applyProtection="1">
      <protection hidden="1"/>
    </xf>
    <xf numFmtId="0" fontId="3" fillId="5" borderId="0" xfId="0" applyFont="1" applyFill="1" applyBorder="1" applyAlignment="1">
      <alignment horizontal="left" vertical="top" wrapText="1"/>
    </xf>
    <xf numFmtId="3" fontId="9" fillId="9" borderId="6" xfId="0" applyNumberFormat="1" applyFont="1" applyFill="1" applyBorder="1" applyAlignment="1">
      <alignment horizontal="left"/>
    </xf>
    <xf numFmtId="3" fontId="9" fillId="9" borderId="18" xfId="0" applyNumberFormat="1" applyFont="1" applyFill="1" applyBorder="1" applyAlignment="1">
      <alignment horizontal="left"/>
    </xf>
    <xf numFmtId="3" fontId="9" fillId="9" borderId="5" xfId="0" applyNumberFormat="1" applyFont="1" applyFill="1" applyBorder="1" applyAlignment="1">
      <alignment horizontal="left"/>
    </xf>
    <xf numFmtId="3" fontId="1" fillId="4" borderId="0" xfId="0" applyNumberFormat="1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33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"/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alignment horizontal="righ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family val="2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bottom" textRotation="0" wrapText="1" indent="0" justifyLastLine="0" shrinkToFit="0" readingOrder="0"/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numFmt numFmtId="165" formatCode="#,##0.0"/>
    </dxf>
    <dxf>
      <numFmt numFmtId="165" formatCode="#,##0.0"/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$&quot;#,##0.00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&quot;$&quot;#,##0.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vertical="bottom" textRotation="0" wrapTex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vertical="bottom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>
          <bgColor theme="4"/>
        </patternFill>
      </fill>
      <border>
        <top style="double">
          <color auto="1"/>
        </top>
      </border>
    </dxf>
    <dxf>
      <fill>
        <patternFill>
          <bgColor rgb="FFCCFFCC"/>
        </patternFill>
      </fill>
    </dxf>
    <dxf>
      <fill>
        <patternFill>
          <bgColor rgb="FF99CCFF"/>
        </patternFill>
      </fill>
      <border>
        <top style="double">
          <color auto="1"/>
        </top>
      </border>
    </dxf>
    <dxf>
      <fill>
        <patternFill>
          <bgColor rgb="FF99CCFF"/>
        </patternFill>
      </fill>
      <border>
        <bottom style="double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2" defaultTableStyle="ERS Report" defaultPivotStyle="PivotStyleLight16">
    <tableStyle name="ERS Report" pivot="0" count="4" xr9:uid="{00000000-0011-0000-FFFF-FFFF00000000}">
      <tableStyleElement type="wholeTable" dxfId="337"/>
      <tableStyleElement type="headerRow" dxfId="336"/>
      <tableStyleElement type="totalRow" dxfId="335"/>
      <tableStyleElement type="secondRowStripe" dxfId="334"/>
    </tableStyle>
    <tableStyle name="Table Style 1" pivot="0" count="1" xr9:uid="{00000000-0011-0000-FFFF-FFFF01000000}">
      <tableStyleElement type="totalRow" dxfId="333"/>
    </tableStyle>
  </tableStyles>
  <colors>
    <mruColors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1416050</xdr:colOff>
      <xdr:row>37</xdr:row>
      <xdr:rowOff>46181</xdr:rowOff>
    </xdr:from>
    <xdr:to>
      <xdr:col>18</xdr:col>
      <xdr:colOff>190500</xdr:colOff>
      <xdr:row>58</xdr:row>
      <xdr:rowOff>134921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4952418-6161-4B2F-AFC4-88B0BDE01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74550" y="9113981"/>
          <a:ext cx="7346950" cy="34891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19049</xdr:rowOff>
    </xdr:from>
    <xdr:to>
      <xdr:col>10</xdr:col>
      <xdr:colOff>711836</xdr:colOff>
      <xdr:row>85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BD82CB-B0ED-4467-90C2-30333A622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201024"/>
          <a:ext cx="11570336" cy="8753475"/>
        </a:xfrm>
        <a:prstGeom prst="rect">
          <a:avLst/>
        </a:prstGeom>
      </xdr:spPr>
    </xdr:pic>
    <xdr:clientData/>
  </xdr:twoCellAnchor>
  <xdr:twoCellAnchor>
    <xdr:from>
      <xdr:col>2</xdr:col>
      <xdr:colOff>906992</xdr:colOff>
      <xdr:row>69</xdr:row>
      <xdr:rowOff>102659</xdr:rowOff>
    </xdr:from>
    <xdr:to>
      <xdr:col>9</xdr:col>
      <xdr:colOff>1278467</xdr:colOff>
      <xdr:row>80</xdr:row>
      <xdr:rowOff>63500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4A31B80-9EB3-48F1-9D17-BE48AC68C665}"/>
            </a:ext>
          </a:extLst>
        </xdr:cNvPr>
        <xdr:cNvSpPr/>
      </xdr:nvSpPr>
      <xdr:spPr>
        <a:xfrm>
          <a:off x="1449917" y="14447309"/>
          <a:ext cx="9239250" cy="174201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38100</xdr:colOff>
      <xdr:row>61</xdr:row>
      <xdr:rowOff>76200</xdr:rowOff>
    </xdr:from>
    <xdr:to>
      <xdr:col>18</xdr:col>
      <xdr:colOff>231832</xdr:colOff>
      <xdr:row>72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C3FA9AA-83A0-4F1F-AFE6-810A7B7CD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44400" y="13030200"/>
          <a:ext cx="7318432" cy="1704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1085849</xdr:colOff>
      <xdr:row>50</xdr:row>
      <xdr:rowOff>161924</xdr:rowOff>
    </xdr:from>
    <xdr:to>
      <xdr:col>14</xdr:col>
      <xdr:colOff>352424</xdr:colOff>
      <xdr:row>57</xdr:row>
      <xdr:rowOff>76199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E2F258-46C9-47FD-9418-5BAFC476309C}"/>
            </a:ext>
          </a:extLst>
        </xdr:cNvPr>
        <xdr:cNvSpPr txBox="1"/>
      </xdr:nvSpPr>
      <xdr:spPr>
        <a:xfrm>
          <a:off x="13563599" y="12096749"/>
          <a:ext cx="3781425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/>
            <a:t>See</a:t>
          </a:r>
          <a:r>
            <a:rPr lang="en-US" sz="1100" b="1" i="1" baseline="0"/>
            <a:t> CEE Heat Pump Efficiency Specifications in table to the left.</a:t>
          </a:r>
          <a:endParaRPr lang="en-US" sz="1100" b="1" i="1"/>
        </a:p>
      </xdr:txBody>
    </xdr:sp>
    <xdr:clientData/>
  </xdr:twoCellAnchor>
  <xdr:twoCellAnchor editAs="oneCell">
    <xdr:from>
      <xdr:col>1</xdr:col>
      <xdr:colOff>0</xdr:colOff>
      <xdr:row>43</xdr:row>
      <xdr:rowOff>28575</xdr:rowOff>
    </xdr:from>
    <xdr:to>
      <xdr:col>9</xdr:col>
      <xdr:colOff>1265545</xdr:colOff>
      <xdr:row>85</xdr:row>
      <xdr:rowOff>112888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D0E7E03-F33E-43E4-9544-12A084F32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629900"/>
          <a:ext cx="10238095" cy="7285714"/>
        </a:xfrm>
        <a:prstGeom prst="rect">
          <a:avLst/>
        </a:prstGeom>
      </xdr:spPr>
    </xdr:pic>
    <xdr:clientData/>
  </xdr:twoCellAnchor>
  <xdr:twoCellAnchor editAs="oneCell">
    <xdr:from>
      <xdr:col>9</xdr:col>
      <xdr:colOff>1695951</xdr:colOff>
      <xdr:row>70</xdr:row>
      <xdr:rowOff>23059</xdr:rowOff>
    </xdr:from>
    <xdr:to>
      <xdr:col>15</xdr:col>
      <xdr:colOff>221581</xdr:colOff>
      <xdr:row>80</xdr:row>
      <xdr:rowOff>98635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6168400-603A-402B-9D0D-4C55A6920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3751" y="15548809"/>
          <a:ext cx="7269580" cy="1694826"/>
        </a:xfrm>
        <a:prstGeom prst="rect">
          <a:avLst/>
        </a:prstGeom>
      </xdr:spPr>
    </xdr:pic>
    <xdr:clientData/>
  </xdr:twoCellAnchor>
  <xdr:twoCellAnchor editAs="oneCell">
    <xdr:from>
      <xdr:col>9</xdr:col>
      <xdr:colOff>1684421</xdr:colOff>
      <xdr:row>49</xdr:row>
      <xdr:rowOff>30077</xdr:rowOff>
    </xdr:from>
    <xdr:to>
      <xdr:col>15</xdr:col>
      <xdr:colOff>260685</xdr:colOff>
      <xdr:row>67</xdr:row>
      <xdr:rowOff>124481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3C1EC17-E5ED-4E65-BA25-320CE25C2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58237" y="11780919"/>
          <a:ext cx="7319211" cy="304214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Reynolds" refreshedDate="42791.422206944444" createdVersion="4" refreshedVersion="4" minRefreshableVersion="3" recordCount="217" xr:uid="{00000000-000A-0000-FFFF-FFFF00000000}">
  <cacheSource type="worksheet">
    <worksheetSource name="lighting"/>
  </cacheSource>
  <cacheFields count="10">
    <cacheField name="Lookupname" numFmtId="3">
      <sharedItems/>
    </cacheField>
    <cacheField name="Measure Name" numFmtId="3">
      <sharedItems count="19">
        <s v="LED parking lot fixture (existing W&lt;250)"/>
        <s v="LED parking lot fixture  (existing W≥250)"/>
        <s v="LED wallpack (existing W&lt;250)"/>
        <s v="LED wallpack (existing W≥250)"/>
        <s v="LED parking garage fixture (existing W&lt;250)"/>
        <s v="LED parking garage fixture (existing W≥250)"/>
        <s v="LED fuel pump canopy fixture (existing W&lt;250)"/>
        <s v="LED fuel pump canopy fixture (existing W≥250)"/>
        <s v="LED outdoor pole decorative fixture (existing W&lt;250)"/>
        <s v="LED outdoor pole decorative fixture (existing W≥250)"/>
        <s v="LED downlight fixture, 9-15 W, interior, replacing incand"/>
        <s v="LED downlight fixture, 9-15 W, interior, replacing (2) 2 W CFL "/>
        <s v="LED downlight, screw-in lamp, 1-3 W, interior"/>
        <s v="LED downlight, screw-in lamp, 4-20 W, interior"/>
        <s v="LED MR16, pin-based lamp, interior"/>
        <s v="LED troffer, 2'X2' and 2'X4'"/>
        <s v="LED troffer retrofit kit, 2'X2' and 2'X4'"/>
        <s v="LED high bay fixture"/>
        <s v="LED low bay fixture"/>
      </sharedItems>
    </cacheField>
    <cacheField name="Building Type" numFmtId="3">
      <sharedItems count="24">
        <s v="NA"/>
        <s v="Assembly"/>
        <s v="Primary School"/>
        <s v="Secondary School"/>
        <s v="Community College"/>
        <s v="University"/>
        <s v="Relocatable Classroom"/>
        <s v="Grocery"/>
        <s v="Hospital"/>
        <s v="Nursing Home"/>
        <s v="Hotel"/>
        <s v="Motel"/>
        <s v="Bio/Tech Manufacturing"/>
        <s v="Light Industrial Manuf."/>
        <s v="Large Office"/>
        <s v="Small Office"/>
        <s v="Sit-Down Restaurant"/>
        <s v="Fast-Food Restaurant"/>
        <s v="Department Store"/>
        <s v="Big Box Retail"/>
        <s v="Small Retail"/>
        <s v="Conditioned Storage"/>
        <s v="Unconditioned Storage"/>
        <s v="Refrigerated Warehouse"/>
      </sharedItems>
    </cacheField>
    <cacheField name="Cost" numFmtId="3">
      <sharedItems containsSemiMixedTypes="0" containsString="0" containsNumber="1" containsInteger="1" minValue="7" maxValue="948"/>
    </cacheField>
    <cacheField name="Units" numFmtId="3">
      <sharedItems/>
    </cacheField>
    <cacheField name="Peak kW" numFmtId="3">
      <sharedItems containsSemiMixedTypes="0" containsString="0" containsNumber="1" minValue="0" maxValue="0.28299999999999997"/>
    </cacheField>
    <cacheField name="Annual kWh" numFmtId="3">
      <sharedItems containsSemiMixedTypes="0" containsString="0" containsNumber="1" containsInteger="1" minValue="23" maxValue="2483"/>
    </cacheField>
    <cacheField name="RUL" numFmtId="3">
      <sharedItems containsSemiMixedTypes="0" containsString="0" containsNumber="1" containsInteger="1" minValue="2" maxValue="5"/>
    </cacheField>
    <cacheField name="EUL" numFmtId="3">
      <sharedItems containsSemiMixedTypes="0" containsString="0" containsNumber="1" minValue="4.752851711026616" maxValue="15"/>
    </cacheField>
    <cacheField name="Load Shape" numFmtId="3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7">
  <r>
    <s v="LED parking lot fixture (existing W&lt;250)NA"/>
    <x v="0"/>
    <x v="0"/>
    <n v="855"/>
    <s v="fixture"/>
    <n v="0"/>
    <n v="569"/>
    <n v="4"/>
    <n v="12.195121951219512"/>
    <s v="Com Outdoor Lighting"/>
  </r>
  <r>
    <s v="LED parking lot fixture  (existing W≥250)NA"/>
    <x v="1"/>
    <x v="0"/>
    <n v="855"/>
    <s v="fixture"/>
    <n v="0"/>
    <n v="1162"/>
    <n v="4"/>
    <n v="12.195121951219512"/>
    <s v="Com Outdoor Lighting"/>
  </r>
  <r>
    <s v="LED wallpack (existing W&lt;250)NA"/>
    <x v="2"/>
    <x v="0"/>
    <n v="292"/>
    <s v="fixture"/>
    <n v="0"/>
    <n v="569"/>
    <n v="4"/>
    <n v="12.195121951219512"/>
    <s v="Com Outdoor Lighting"/>
  </r>
  <r>
    <s v="LED wallpack (existing W≥250)NA"/>
    <x v="3"/>
    <x v="0"/>
    <n v="292"/>
    <s v="fixture"/>
    <n v="0"/>
    <n v="1162"/>
    <n v="4"/>
    <n v="12.195121951219512"/>
    <s v="Com Outdoor Lighting"/>
  </r>
  <r>
    <s v="LED parking garage fixture (existing W&lt;250)NA"/>
    <x v="4"/>
    <x v="0"/>
    <n v="547"/>
    <s v="fixture"/>
    <n v="0.13900000000000001"/>
    <n v="1216"/>
    <n v="2"/>
    <n v="5.7077625570776256"/>
    <s v="Com Outdoor Lighting"/>
  </r>
  <r>
    <s v="LED parking garage fixture (existing W≥250)NA"/>
    <x v="5"/>
    <x v="0"/>
    <n v="547"/>
    <s v="fixture"/>
    <n v="0.28299999999999997"/>
    <n v="2483"/>
    <n v="2"/>
    <n v="5.7077625570776256"/>
    <s v="Com Outdoor Lighting"/>
  </r>
  <r>
    <s v="LED fuel pump canopy fixture (existing W&lt;250)NA"/>
    <x v="6"/>
    <x v="0"/>
    <n v="484"/>
    <s v="fixture"/>
    <n v="0"/>
    <n v="569"/>
    <n v="4"/>
    <n v="12.195121951219512"/>
    <s v="Com Outdoor Lighting"/>
  </r>
  <r>
    <s v="LED fuel pump canopy fixture (existing W≥250)NA"/>
    <x v="7"/>
    <x v="0"/>
    <n v="484"/>
    <s v="fixture"/>
    <n v="0"/>
    <n v="1162"/>
    <n v="4"/>
    <n v="12.195121951219512"/>
    <s v="Com Outdoor Lighting"/>
  </r>
  <r>
    <s v="LED outdoor pole decorative fixture (existing W&lt;250)NA"/>
    <x v="8"/>
    <x v="0"/>
    <n v="948"/>
    <s v="fixture"/>
    <n v="0"/>
    <n v="569"/>
    <n v="4"/>
    <n v="12.195121951219512"/>
    <s v="Com Outdoor Lighting"/>
  </r>
  <r>
    <s v="LED outdoor pole decorative fixture (existing W≥250)NA"/>
    <x v="9"/>
    <x v="0"/>
    <n v="948"/>
    <s v="fixture"/>
    <n v="0"/>
    <n v="1162"/>
    <n v="4"/>
    <n v="12.195121951219512"/>
    <s v="Com Outdoor Lighting"/>
  </r>
  <r>
    <s v="LED downlight fixture, 9-15 W, interior, replacing incandAssembly"/>
    <x v="10"/>
    <x v="1"/>
    <n v="121"/>
    <s v="fixture"/>
    <n v="2.8000000000000001E-2"/>
    <n v="156"/>
    <n v="3"/>
    <n v="9.5785440613026829"/>
    <s v="Com Indoor Lighting"/>
  </r>
  <r>
    <s v="LED downlight fixture, 9-15 W, interior, replacing incandPrimary School"/>
    <x v="10"/>
    <x v="2"/>
    <n v="121"/>
    <s v="fixture"/>
    <n v="2E-3"/>
    <n v="132"/>
    <n v="4"/>
    <n v="11.682242990654206"/>
    <s v="Com Indoor Lighting"/>
  </r>
  <r>
    <s v="LED downlight fixture, 9-15 W, interior, replacing incandSecondary School"/>
    <x v="10"/>
    <x v="3"/>
    <n v="121"/>
    <s v="fixture"/>
    <n v="2E-3"/>
    <n v="139"/>
    <n v="4"/>
    <n v="10.964912280701755"/>
    <s v="Com Indoor Lighting"/>
  </r>
  <r>
    <s v="LED downlight fixture, 9-15 W, interior, replacing incandCommunity College"/>
    <x v="10"/>
    <x v="4"/>
    <n v="121"/>
    <s v="fixture"/>
    <n v="3.3000000000000002E-2"/>
    <n v="153"/>
    <n v="3"/>
    <n v="10.330578512396695"/>
    <s v="Com Indoor Lighting"/>
  </r>
  <r>
    <s v="LED downlight fixture, 9-15 W, interior, replacing incandUniversity"/>
    <x v="10"/>
    <x v="5"/>
    <n v="121"/>
    <s v="fixture"/>
    <n v="3.2000000000000001E-2"/>
    <n v="150"/>
    <n v="4"/>
    <n v="10.638297872340425"/>
    <s v="Com Indoor Lighting"/>
  </r>
  <r>
    <s v="LED downlight fixture, 9-15 W, interior, replacing incandRelocatable Classroom"/>
    <x v="10"/>
    <x v="6"/>
    <n v="121"/>
    <s v="fixture"/>
    <n v="1E-3"/>
    <n v="148"/>
    <n v="3"/>
    <n v="10.080645161290322"/>
    <s v="Com Indoor Lighting"/>
  </r>
  <r>
    <s v="LED downlight fixture, 9-15 W, interior, replacing incandGrocery"/>
    <x v="10"/>
    <x v="7"/>
    <n v="121"/>
    <s v="fixture"/>
    <n v="3.5000000000000003E-2"/>
    <n v="263"/>
    <n v="2"/>
    <n v="5.0916496945010179"/>
    <s v="Com Indoor Lighting"/>
  </r>
  <r>
    <s v="LED downlight fixture, 9-15 W, interior, replacing incandHospital"/>
    <x v="10"/>
    <x v="8"/>
    <n v="121"/>
    <s v="fixture"/>
    <n v="0.05"/>
    <n v="333"/>
    <n v="2"/>
    <n v="4.752851711026616"/>
    <s v="Com Indoor Lighting"/>
  </r>
  <r>
    <s v="LED downlight fixture, 9-15 W, interior, replacing incandNursing Home"/>
    <x v="10"/>
    <x v="9"/>
    <n v="121"/>
    <s v="fixture"/>
    <n v="0.04"/>
    <n v="249"/>
    <n v="2"/>
    <n v="6.009615384615385"/>
    <s v="Com Indoor Lighting"/>
  </r>
  <r>
    <s v="LED downlight fixture, 9-15 W, interior, replacing incandHotel"/>
    <x v="10"/>
    <x v="10"/>
    <n v="121"/>
    <s v="fixture"/>
    <n v="1.4E-2"/>
    <n v="112"/>
    <n v="4"/>
    <n v="12.820512820512821"/>
    <s v="Com Indoor Lighting"/>
  </r>
  <r>
    <s v="LED downlight fixture, 9-15 W, interior, replacing incandMotel"/>
    <x v="10"/>
    <x v="11"/>
    <n v="121"/>
    <s v="fixture"/>
    <n v="1.0999999999999999E-2"/>
    <n v="93"/>
    <n v="5"/>
    <n v="15"/>
    <s v="Com Indoor Lighting"/>
  </r>
  <r>
    <s v="LED downlight fixture, 9-15 W, interior, replacing incandBio/Tech Manufacturing"/>
    <x v="10"/>
    <x v="12"/>
    <n v="121"/>
    <s v="fixture"/>
    <n v="5.0999999999999997E-2"/>
    <n v="225"/>
    <n v="2"/>
    <n v="7.0821529745042495"/>
    <s v="Com Indoor Lighting"/>
  </r>
  <r>
    <s v="LED downlight fixture, 9-15 W, interior, replacing incandLight Industrial Manuf."/>
    <x v="10"/>
    <x v="13"/>
    <n v="121"/>
    <s v="fixture"/>
    <n v="5.0999999999999997E-2"/>
    <n v="193"/>
    <n v="3"/>
    <n v="7.7639751552795033"/>
    <s v="Com Indoor Lighting"/>
  </r>
  <r>
    <s v="LED downlight fixture, 9-15 W, interior, replacing incandLarge Office"/>
    <x v="10"/>
    <x v="14"/>
    <n v="121"/>
    <s v="fixture"/>
    <n v="4.5999999999999999E-2"/>
    <n v="169"/>
    <n v="3"/>
    <n v="9.4696969696969688"/>
    <s v="Com Indoor Lighting"/>
  </r>
  <r>
    <s v="LED downlight fixture, 9-15 W, interior, replacing incandSmall Office"/>
    <x v="10"/>
    <x v="15"/>
    <n v="121"/>
    <s v="fixture"/>
    <n v="4.8000000000000001E-2"/>
    <n v="158"/>
    <n v="3"/>
    <n v="9.6525096525096519"/>
    <s v="Com Indoor Lighting"/>
  </r>
  <r>
    <s v="LED downlight fixture, 9-15 W, interior, replacing incandSit-Down Restaurant"/>
    <x v="10"/>
    <x v="16"/>
    <n v="121"/>
    <s v="fixture"/>
    <n v="5.5E-2"/>
    <n v="286"/>
    <n v="2"/>
    <n v="5.1759834368530022"/>
    <s v="Com Indoor Lighting"/>
  </r>
  <r>
    <s v="LED downlight fixture, 9-15 W, interior, replacing incandFast-Food Restaurant"/>
    <x v="10"/>
    <x v="17"/>
    <n v="121"/>
    <s v="fixture"/>
    <n v="5.3999999999999999E-2"/>
    <n v="290"/>
    <n v="2"/>
    <n v="5.1652892561983474"/>
    <s v="Com Indoor Lighting"/>
  </r>
  <r>
    <s v="LED downlight fixture, 9-15 W, interior, replacing incandDepartment Store"/>
    <x v="10"/>
    <x v="18"/>
    <n v="121"/>
    <s v="fixture"/>
    <n v="4.2999999999999997E-2"/>
    <n v="210"/>
    <n v="2"/>
    <n v="7.3964497041420119"/>
    <s v="Com Indoor Lighting"/>
  </r>
  <r>
    <s v="LED downlight fixture, 9-15 W, interior, replacing incandBig Box Retail"/>
    <x v="10"/>
    <x v="19"/>
    <n v="121"/>
    <s v="fixture"/>
    <n v="4.7E-2"/>
    <n v="263"/>
    <n v="2"/>
    <n v="5.8548009367681502"/>
    <s v="Com Indoor Lighting"/>
  </r>
  <r>
    <s v="LED downlight fixture, 9-15 W, interior, replacing incandSmall Retail"/>
    <x v="10"/>
    <x v="20"/>
    <n v="121"/>
    <s v="fixture"/>
    <n v="4.7E-2"/>
    <n v="208"/>
    <n v="2"/>
    <n v="7.3964497041420119"/>
    <s v="Com Indoor Lighting"/>
  </r>
  <r>
    <s v="LED downlight fixture, 9-15 W, interior, replacing incandConditioned Storage"/>
    <x v="10"/>
    <x v="21"/>
    <n v="121"/>
    <s v="fixture"/>
    <n v="4.1000000000000002E-2"/>
    <n v="191"/>
    <n v="2"/>
    <n v="7.3099415204678362"/>
    <s v="Com Indoor Lighting"/>
  </r>
  <r>
    <s v="LED downlight fixture, 9-15 W, interior, replacing incandUnconditioned Storage"/>
    <x v="10"/>
    <x v="22"/>
    <n v="121"/>
    <s v="fixture"/>
    <n v="3.3000000000000002E-2"/>
    <n v="195"/>
    <n v="2"/>
    <n v="7.3099415204678362"/>
    <s v="Com Indoor Lighting"/>
  </r>
  <r>
    <s v="LED downlight fixture, 9-15 W, interior, replacing incandRefrigerated Warehouse"/>
    <x v="10"/>
    <x v="23"/>
    <n v="121"/>
    <s v="fixture"/>
    <n v="4.1000000000000002E-2"/>
    <n v="440"/>
    <n v="2"/>
    <n v="5.2410901467505244"/>
    <s v="Com Indoor Lighting"/>
  </r>
  <r>
    <s v="LED downlight fixture, 9-15 W, interior, replacing (2) 2 W CFL Assembly"/>
    <x v="11"/>
    <x v="1"/>
    <n v="350"/>
    <s v="fixture"/>
    <n v="2.1000000000000001E-2"/>
    <n v="118"/>
    <n v="3"/>
    <n v="9.5785440613026829"/>
    <s v="Com Indoor Lighting"/>
  </r>
  <r>
    <s v="LED downlight fixture, 9-15 W, interior, replacing (2) 2 W CFL Primary School"/>
    <x v="11"/>
    <x v="2"/>
    <n v="350"/>
    <s v="fixture"/>
    <n v="1E-3"/>
    <n v="99"/>
    <n v="4"/>
    <n v="11.682242990654206"/>
    <s v="Com Indoor Lighting"/>
  </r>
  <r>
    <s v="LED downlight fixture, 9-15 W, interior, replacing (2) 2 W CFL Secondary School"/>
    <x v="11"/>
    <x v="3"/>
    <n v="350"/>
    <s v="fixture"/>
    <n v="1E-3"/>
    <n v="105"/>
    <n v="4"/>
    <n v="10.964912280701755"/>
    <s v="Com Indoor Lighting"/>
  </r>
  <r>
    <s v="LED downlight fixture, 9-15 W, interior, replacing (2) 2 W CFL Community College"/>
    <x v="11"/>
    <x v="4"/>
    <n v="350"/>
    <s v="fixture"/>
    <n v="2.5000000000000001E-2"/>
    <n v="116"/>
    <n v="3"/>
    <n v="10.330578512396695"/>
    <s v="Com Indoor Lighting"/>
  </r>
  <r>
    <s v="LED downlight fixture, 9-15 W, interior, replacing (2) 2 W CFL University"/>
    <x v="11"/>
    <x v="5"/>
    <n v="350"/>
    <s v="fixture"/>
    <n v="2.4E-2"/>
    <n v="113"/>
    <n v="4"/>
    <n v="10.638297872340425"/>
    <s v="Com Indoor Lighting"/>
  </r>
  <r>
    <s v="LED downlight fixture, 9-15 W, interior, replacing (2) 2 W CFL Relocatable Classroom"/>
    <x v="11"/>
    <x v="6"/>
    <n v="350"/>
    <s v="fixture"/>
    <n v="1E-3"/>
    <n v="112"/>
    <n v="3"/>
    <n v="10.080645161290322"/>
    <s v="Com Indoor Lighting"/>
  </r>
  <r>
    <s v="LED downlight fixture, 9-15 W, interior, replacing (2) 2 W CFL Grocery"/>
    <x v="11"/>
    <x v="7"/>
    <n v="350"/>
    <s v="fixture"/>
    <n v="2.5999999999999999E-2"/>
    <n v="198"/>
    <n v="2"/>
    <n v="5.0916496945010179"/>
    <s v="Com Indoor Lighting"/>
  </r>
  <r>
    <s v="LED downlight fixture, 9-15 W, interior, replacing (2) 2 W CFL Hospital"/>
    <x v="11"/>
    <x v="8"/>
    <n v="350"/>
    <s v="fixture"/>
    <n v="3.7999999999999999E-2"/>
    <n v="251"/>
    <n v="2"/>
    <n v="4.752851711026616"/>
    <s v="Com Indoor Lighting"/>
  </r>
  <r>
    <s v="LED downlight fixture, 9-15 W, interior, replacing (2) 2 W CFL Nursing Home"/>
    <x v="11"/>
    <x v="9"/>
    <n v="350"/>
    <s v="fixture"/>
    <n v="0.03"/>
    <n v="188"/>
    <n v="2"/>
    <n v="6.009615384615385"/>
    <s v="Com Indoor Lighting"/>
  </r>
  <r>
    <s v="LED downlight fixture, 9-15 W, interior, replacing (2) 2 W CFL Hotel"/>
    <x v="11"/>
    <x v="10"/>
    <n v="350"/>
    <s v="fixture"/>
    <n v="1.0999999999999999E-2"/>
    <n v="85"/>
    <n v="4"/>
    <n v="12.820512820512821"/>
    <s v="Com Indoor Lighting"/>
  </r>
  <r>
    <s v="LED downlight fixture, 9-15 W, interior, replacing (2) 2 W CFL Motel"/>
    <x v="11"/>
    <x v="11"/>
    <n v="350"/>
    <s v="fixture"/>
    <n v="8.0000000000000002E-3"/>
    <n v="70"/>
    <n v="5"/>
    <n v="15"/>
    <s v="Com Indoor Lighting"/>
  </r>
  <r>
    <s v="LED downlight fixture, 9-15 W, interior, replacing (2) 2 W CFL Bio/Tech Manufacturing"/>
    <x v="11"/>
    <x v="12"/>
    <n v="350"/>
    <s v="fixture"/>
    <n v="3.9E-2"/>
    <n v="170"/>
    <n v="2"/>
    <n v="7.0821529745042495"/>
    <s v="Com Indoor Lighting"/>
  </r>
  <r>
    <s v="LED downlight fixture, 9-15 W, interior, replacing (2) 2 W CFL Light Industrial Manuf."/>
    <x v="11"/>
    <x v="13"/>
    <n v="350"/>
    <s v="fixture"/>
    <n v="3.7999999999999999E-2"/>
    <n v="145"/>
    <n v="3"/>
    <n v="7.7639751552795033"/>
    <s v="Com Indoor Lighting"/>
  </r>
  <r>
    <s v="LED downlight fixture, 9-15 W, interior, replacing (2) 2 W CFL Large Office"/>
    <x v="11"/>
    <x v="14"/>
    <n v="350"/>
    <s v="fixture"/>
    <n v="3.4000000000000002E-2"/>
    <n v="127"/>
    <n v="3"/>
    <n v="9.4696969696969688"/>
    <s v="Com Indoor Lighting"/>
  </r>
  <r>
    <s v="LED downlight fixture, 9-15 W, interior, replacing (2) 2 W CFL Small Office"/>
    <x v="11"/>
    <x v="15"/>
    <n v="350"/>
    <s v="fixture"/>
    <n v="3.5999999999999997E-2"/>
    <n v="119"/>
    <n v="3"/>
    <n v="9.6525096525096519"/>
    <s v="Com Indoor Lighting"/>
  </r>
  <r>
    <s v="LED downlight fixture, 9-15 W, interior, replacing (2) 2 W CFL Sit-Down Restaurant"/>
    <x v="11"/>
    <x v="16"/>
    <n v="350"/>
    <s v="fixture"/>
    <n v="4.1000000000000002E-2"/>
    <n v="216"/>
    <n v="2"/>
    <n v="5.1759834368530022"/>
    <s v="Com Indoor Lighting"/>
  </r>
  <r>
    <s v="LED downlight fixture, 9-15 W, interior, replacing (2) 2 W CFL Fast-Food Restaurant"/>
    <x v="11"/>
    <x v="17"/>
    <n v="350"/>
    <s v="fixture"/>
    <n v="4.1000000000000002E-2"/>
    <n v="219"/>
    <n v="2"/>
    <n v="5.1652892561983474"/>
    <s v="Com Indoor Lighting"/>
  </r>
  <r>
    <s v="LED downlight fixture, 9-15 W, interior, replacing (2) 2 W CFL Department Store"/>
    <x v="11"/>
    <x v="18"/>
    <n v="350"/>
    <s v="fixture"/>
    <n v="3.3000000000000002E-2"/>
    <n v="158"/>
    <n v="2"/>
    <n v="7.3964497041420119"/>
    <s v="Com Indoor Lighting"/>
  </r>
  <r>
    <s v="LED downlight fixture, 9-15 W, interior, replacing (2) 2 W CFL Big Box Retail"/>
    <x v="11"/>
    <x v="19"/>
    <n v="350"/>
    <s v="fixture"/>
    <n v="3.5999999999999997E-2"/>
    <n v="198"/>
    <n v="2"/>
    <n v="5.8548009367681502"/>
    <s v="Com Indoor Lighting"/>
  </r>
  <r>
    <s v="LED downlight fixture, 9-15 W, interior, replacing (2) 2 W CFL Small Retail"/>
    <x v="11"/>
    <x v="20"/>
    <n v="350"/>
    <s v="fixture"/>
    <n v="3.5999999999999997E-2"/>
    <n v="157"/>
    <n v="2"/>
    <n v="7.3964497041420119"/>
    <s v="Com Indoor Lighting"/>
  </r>
  <r>
    <s v="LED downlight fixture, 9-15 W, interior, replacing (2) 2 W CFL Conditioned Storage"/>
    <x v="11"/>
    <x v="21"/>
    <n v="350"/>
    <s v="fixture"/>
    <n v="3.1E-2"/>
    <n v="144"/>
    <n v="2"/>
    <n v="7.3099415204678362"/>
    <s v="Com Indoor Lighting"/>
  </r>
  <r>
    <s v="LED downlight fixture, 9-15 W, interior, replacing (2) 2 W CFL Unconditioned Storage"/>
    <x v="11"/>
    <x v="22"/>
    <n v="350"/>
    <s v="fixture"/>
    <n v="2.5000000000000001E-2"/>
    <n v="147"/>
    <n v="2"/>
    <n v="7.3099415204678362"/>
    <s v="Com Indoor Lighting"/>
  </r>
  <r>
    <s v="LED downlight fixture, 9-15 W, interior, replacing (2) 2 W CFL Refrigerated Warehouse"/>
    <x v="11"/>
    <x v="23"/>
    <n v="350"/>
    <s v="fixture"/>
    <n v="3.1E-2"/>
    <n v="332"/>
    <n v="2"/>
    <n v="5.2410901467505244"/>
    <s v="Com Indoor Lighting"/>
  </r>
  <r>
    <s v="LED downlight, screw-in lamp, 1-3 W, interiorAssembly"/>
    <x v="12"/>
    <x v="1"/>
    <n v="7"/>
    <s v="lamp"/>
    <n v="2.1000000000000001E-2"/>
    <n v="118"/>
    <n v="3"/>
    <n v="9.5785440613026829"/>
    <s v="Com Indoor Lighting"/>
  </r>
  <r>
    <s v="LED downlight, screw-in lamp, 1-3 W, interiorPrimary School"/>
    <x v="12"/>
    <x v="2"/>
    <n v="7"/>
    <s v="lamp"/>
    <n v="1E-3"/>
    <n v="99"/>
    <n v="4"/>
    <n v="11.682242990654206"/>
    <s v="Com Indoor Lighting"/>
  </r>
  <r>
    <s v="LED downlight, screw-in lamp, 1-3 W, interiorSecondary School"/>
    <x v="12"/>
    <x v="3"/>
    <n v="7"/>
    <s v="lamp"/>
    <n v="1E-3"/>
    <n v="105"/>
    <n v="4"/>
    <n v="10.964912280701755"/>
    <s v="Com Indoor Lighting"/>
  </r>
  <r>
    <s v="LED downlight, screw-in lamp, 1-3 W, interiorCommunity College"/>
    <x v="12"/>
    <x v="4"/>
    <n v="7"/>
    <s v="lamp"/>
    <n v="2.5000000000000001E-2"/>
    <n v="116"/>
    <n v="3"/>
    <n v="10.330578512396695"/>
    <s v="Com Indoor Lighting"/>
  </r>
  <r>
    <s v="LED downlight, screw-in lamp, 1-3 W, interiorUniversity"/>
    <x v="12"/>
    <x v="5"/>
    <n v="7"/>
    <s v="lamp"/>
    <n v="2.4E-2"/>
    <n v="113"/>
    <n v="4"/>
    <n v="10.638297872340425"/>
    <s v="Com Indoor Lighting"/>
  </r>
  <r>
    <s v="LED downlight, screw-in lamp, 1-3 W, interiorRelocatable Classroom"/>
    <x v="12"/>
    <x v="6"/>
    <n v="7"/>
    <s v="lamp"/>
    <n v="1E-3"/>
    <n v="112"/>
    <n v="3"/>
    <n v="10.080645161290322"/>
    <s v="Com Indoor Lighting"/>
  </r>
  <r>
    <s v="LED downlight, screw-in lamp, 1-3 W, interiorGrocery"/>
    <x v="12"/>
    <x v="7"/>
    <n v="7"/>
    <s v="lamp"/>
    <n v="2.5999999999999999E-2"/>
    <n v="198"/>
    <n v="2"/>
    <n v="5.0916496945010179"/>
    <s v="Com Indoor Lighting"/>
  </r>
  <r>
    <s v="LED downlight, screw-in lamp, 1-3 W, interiorHospital"/>
    <x v="12"/>
    <x v="8"/>
    <n v="7"/>
    <s v="lamp"/>
    <n v="3.7999999999999999E-2"/>
    <n v="251"/>
    <n v="2"/>
    <n v="4.752851711026616"/>
    <s v="Com Indoor Lighting"/>
  </r>
  <r>
    <s v="LED downlight, screw-in lamp, 1-3 W, interiorNursing Home"/>
    <x v="12"/>
    <x v="9"/>
    <n v="7"/>
    <s v="lamp"/>
    <n v="0.03"/>
    <n v="188"/>
    <n v="2"/>
    <n v="6.009615384615385"/>
    <s v="Com Indoor Lighting"/>
  </r>
  <r>
    <s v="LED downlight, screw-in lamp, 1-3 W, interiorHotel"/>
    <x v="12"/>
    <x v="10"/>
    <n v="7"/>
    <s v="lamp"/>
    <n v="1.0999999999999999E-2"/>
    <n v="85"/>
    <n v="4"/>
    <n v="12.820512820512821"/>
    <s v="Com Indoor Lighting"/>
  </r>
  <r>
    <s v="LED downlight, screw-in lamp, 1-3 W, interiorMotel"/>
    <x v="12"/>
    <x v="11"/>
    <n v="7"/>
    <s v="lamp"/>
    <n v="8.0000000000000002E-3"/>
    <n v="70"/>
    <n v="5"/>
    <n v="15"/>
    <s v="Com Indoor Lighting"/>
  </r>
  <r>
    <s v="LED downlight, screw-in lamp, 1-3 W, interiorBio/Tech Manufacturing"/>
    <x v="12"/>
    <x v="12"/>
    <n v="7"/>
    <s v="lamp"/>
    <n v="3.9E-2"/>
    <n v="170"/>
    <n v="2"/>
    <n v="7.0821529745042495"/>
    <s v="Com Indoor Lighting"/>
  </r>
  <r>
    <s v="LED downlight, screw-in lamp, 1-3 W, interiorLight Industrial Manuf."/>
    <x v="12"/>
    <x v="13"/>
    <n v="7"/>
    <s v="lamp"/>
    <n v="3.7999999999999999E-2"/>
    <n v="145"/>
    <n v="3"/>
    <n v="7.7639751552795033"/>
    <s v="Com Indoor Lighting"/>
  </r>
  <r>
    <s v="LED downlight, screw-in lamp, 1-3 W, interiorLarge Office"/>
    <x v="12"/>
    <x v="14"/>
    <n v="7"/>
    <s v="lamp"/>
    <n v="3.4000000000000002E-2"/>
    <n v="127"/>
    <n v="3"/>
    <n v="9.4696969696969688"/>
    <s v="Com Indoor Lighting"/>
  </r>
  <r>
    <s v="LED downlight, screw-in lamp, 1-3 W, interiorSmall Office"/>
    <x v="12"/>
    <x v="15"/>
    <n v="7"/>
    <s v="lamp"/>
    <n v="3.5999999999999997E-2"/>
    <n v="119"/>
    <n v="3"/>
    <n v="9.6525096525096519"/>
    <s v="Com Indoor Lighting"/>
  </r>
  <r>
    <s v="LED downlight, screw-in lamp, 1-3 W, interiorSit-Down Restaurant"/>
    <x v="12"/>
    <x v="16"/>
    <n v="7"/>
    <s v="lamp"/>
    <n v="4.1000000000000002E-2"/>
    <n v="216"/>
    <n v="2"/>
    <n v="5.1759834368530022"/>
    <s v="Com Indoor Lighting"/>
  </r>
  <r>
    <s v="LED downlight, screw-in lamp, 1-3 W, interiorFast-Food Restaurant"/>
    <x v="12"/>
    <x v="17"/>
    <n v="7"/>
    <s v="lamp"/>
    <n v="4.1000000000000002E-2"/>
    <n v="219"/>
    <n v="2"/>
    <n v="5.1652892561983474"/>
    <s v="Com Indoor Lighting"/>
  </r>
  <r>
    <s v="LED downlight, screw-in lamp, 1-3 W, interiorDepartment Store"/>
    <x v="12"/>
    <x v="18"/>
    <n v="7"/>
    <s v="lamp"/>
    <n v="3.3000000000000002E-2"/>
    <n v="158"/>
    <n v="2"/>
    <n v="7.3964497041420119"/>
    <s v="Com Indoor Lighting"/>
  </r>
  <r>
    <s v="LED downlight, screw-in lamp, 1-3 W, interiorBig Box Retail"/>
    <x v="12"/>
    <x v="19"/>
    <n v="7"/>
    <s v="lamp"/>
    <n v="3.5999999999999997E-2"/>
    <n v="198"/>
    <n v="2"/>
    <n v="5.8548009367681502"/>
    <s v="Com Indoor Lighting"/>
  </r>
  <r>
    <s v="LED downlight, screw-in lamp, 1-3 W, interiorSmall Retail"/>
    <x v="12"/>
    <x v="20"/>
    <n v="7"/>
    <s v="lamp"/>
    <n v="3.5999999999999997E-2"/>
    <n v="157"/>
    <n v="2"/>
    <n v="7.3964497041420119"/>
    <s v="Com Indoor Lighting"/>
  </r>
  <r>
    <s v="LED downlight, screw-in lamp, 1-3 W, interiorConditioned Storage"/>
    <x v="12"/>
    <x v="21"/>
    <n v="7"/>
    <s v="lamp"/>
    <n v="3.1E-2"/>
    <n v="144"/>
    <n v="2"/>
    <n v="7.3099415204678362"/>
    <s v="Com Indoor Lighting"/>
  </r>
  <r>
    <s v="LED downlight, screw-in lamp, 1-3 W, interiorUnconditioned Storage"/>
    <x v="12"/>
    <x v="22"/>
    <n v="7"/>
    <s v="lamp"/>
    <n v="2.5000000000000001E-2"/>
    <n v="147"/>
    <n v="2"/>
    <n v="7.3099415204678362"/>
    <s v="Com Indoor Lighting"/>
  </r>
  <r>
    <s v="LED downlight, screw-in lamp, 1-3 W, interiorRefrigerated Warehouse"/>
    <x v="12"/>
    <x v="23"/>
    <n v="7"/>
    <s v="lamp"/>
    <n v="3.1E-2"/>
    <n v="332"/>
    <n v="2"/>
    <n v="5.2410901467505244"/>
    <s v="Com Indoor Lighting"/>
  </r>
  <r>
    <s v="LED downlight, screw-in lamp, 4-20 W, interiorAssembly"/>
    <x v="13"/>
    <x v="1"/>
    <n v="12"/>
    <s v="lamp"/>
    <n v="2.3E-2"/>
    <n v="130"/>
    <n v="3"/>
    <n v="9.5785440613026829"/>
    <s v="Com Indoor Lighting"/>
  </r>
  <r>
    <s v="LED downlight, screw-in lamp, 4-20 W, interiorPrimary School"/>
    <x v="13"/>
    <x v="2"/>
    <n v="12"/>
    <s v="lamp"/>
    <n v="2E-3"/>
    <n v="110"/>
    <n v="4"/>
    <n v="11.682242990654206"/>
    <s v="Com Indoor Lighting"/>
  </r>
  <r>
    <s v="LED downlight, screw-in lamp, 4-20 W, interiorSecondary School"/>
    <x v="13"/>
    <x v="3"/>
    <n v="12"/>
    <s v="lamp"/>
    <n v="1E-3"/>
    <n v="116"/>
    <n v="4"/>
    <n v="10.964912280701755"/>
    <s v="Com Indoor Lighting"/>
  </r>
  <r>
    <s v="LED downlight, screw-in lamp, 4-20 W, interiorCommunity College"/>
    <x v="13"/>
    <x v="4"/>
    <n v="12"/>
    <s v="lamp"/>
    <n v="2.7E-2"/>
    <n v="128"/>
    <n v="3"/>
    <n v="10.330578512396695"/>
    <s v="Com Indoor Lighting"/>
  </r>
  <r>
    <s v="LED downlight, screw-in lamp, 4-20 W, interiorUniversity"/>
    <x v="13"/>
    <x v="5"/>
    <n v="12"/>
    <s v="lamp"/>
    <n v="2.5999999999999999E-2"/>
    <n v="125"/>
    <n v="4"/>
    <n v="10.638297872340425"/>
    <s v="Com Indoor Lighting"/>
  </r>
  <r>
    <s v="LED downlight, screw-in lamp, 4-20 W, interiorRelocatable Classroom"/>
    <x v="13"/>
    <x v="6"/>
    <n v="12"/>
    <s v="lamp"/>
    <n v="1E-3"/>
    <n v="124"/>
    <n v="3"/>
    <n v="10.080645161290322"/>
    <s v="Com Indoor Lighting"/>
  </r>
  <r>
    <s v="LED downlight, screw-in lamp, 4-20 W, interiorGrocery"/>
    <x v="13"/>
    <x v="7"/>
    <n v="12"/>
    <s v="lamp"/>
    <n v="2.9000000000000001E-2"/>
    <n v="219"/>
    <n v="2"/>
    <n v="5.0916496945010179"/>
    <s v="Com Indoor Lighting"/>
  </r>
  <r>
    <s v="LED downlight, screw-in lamp, 4-20 W, interiorHospital"/>
    <x v="13"/>
    <x v="8"/>
    <n v="12"/>
    <s v="lamp"/>
    <n v="4.2000000000000003E-2"/>
    <n v="278"/>
    <n v="2"/>
    <n v="4.752851711026616"/>
    <s v="Com Indoor Lighting"/>
  </r>
  <r>
    <s v="LED downlight, screw-in lamp, 4-20 W, interiorNursing Home"/>
    <x v="13"/>
    <x v="9"/>
    <n v="12"/>
    <s v="lamp"/>
    <n v="3.3000000000000002E-2"/>
    <n v="208"/>
    <n v="2"/>
    <n v="6.009615384615385"/>
    <s v="Com Indoor Lighting"/>
  </r>
  <r>
    <s v="LED downlight, screw-in lamp, 4-20 W, interiorHotel"/>
    <x v="13"/>
    <x v="10"/>
    <n v="12"/>
    <s v="lamp"/>
    <n v="1.2E-2"/>
    <n v="94"/>
    <n v="4"/>
    <n v="12.820512820512821"/>
    <s v="Com Indoor Lighting"/>
  </r>
  <r>
    <s v="LED downlight, screw-in lamp, 4-20 W, interiorMotel"/>
    <x v="13"/>
    <x v="11"/>
    <n v="12"/>
    <s v="lamp"/>
    <n v="8.9999999999999993E-3"/>
    <n v="77"/>
    <n v="5"/>
    <n v="15"/>
    <s v="Com Indoor Lighting"/>
  </r>
  <r>
    <s v="LED downlight, screw-in lamp, 4-20 W, interiorBio/Tech Manufacturing"/>
    <x v="13"/>
    <x v="12"/>
    <n v="12"/>
    <s v="lamp"/>
    <n v="4.2999999999999997E-2"/>
    <n v="188"/>
    <n v="2"/>
    <n v="7.0821529745042495"/>
    <s v="Com Indoor Lighting"/>
  </r>
  <r>
    <s v="LED downlight, screw-in lamp, 4-20 W, interiorLight Industrial Manuf."/>
    <x v="13"/>
    <x v="13"/>
    <n v="12"/>
    <s v="lamp"/>
    <n v="4.2000000000000003E-2"/>
    <n v="161"/>
    <n v="3"/>
    <n v="7.7639751552795033"/>
    <s v="Com Indoor Lighting"/>
  </r>
  <r>
    <s v="LED downlight, screw-in lamp, 4-20 W, interiorLarge Office"/>
    <x v="13"/>
    <x v="14"/>
    <n v="12"/>
    <s v="lamp"/>
    <n v="3.7999999999999999E-2"/>
    <n v="141"/>
    <n v="3"/>
    <n v="9.4696969696969688"/>
    <s v="Com Indoor Lighting"/>
  </r>
  <r>
    <s v="LED downlight, screw-in lamp, 4-20 W, interiorSmall Office"/>
    <x v="13"/>
    <x v="15"/>
    <n v="12"/>
    <s v="lamp"/>
    <n v="0.04"/>
    <n v="132"/>
    <n v="3"/>
    <n v="9.6525096525096519"/>
    <s v="Com Indoor Lighting"/>
  </r>
  <r>
    <s v="LED downlight, screw-in lamp, 4-20 W, interiorSit-Down Restaurant"/>
    <x v="13"/>
    <x v="16"/>
    <n v="12"/>
    <s v="lamp"/>
    <n v="4.5999999999999999E-2"/>
    <n v="239"/>
    <n v="2"/>
    <n v="5.1759834368530022"/>
    <s v="Com Indoor Lighting"/>
  </r>
  <r>
    <s v="LED downlight, screw-in lamp, 4-20 W, interiorFast-Food Restaurant"/>
    <x v="13"/>
    <x v="17"/>
    <n v="12"/>
    <s v="lamp"/>
    <n v="4.4999999999999998E-2"/>
    <n v="242"/>
    <n v="2"/>
    <n v="5.1652892561983474"/>
    <s v="Com Indoor Lighting"/>
  </r>
  <r>
    <s v="LED downlight, screw-in lamp, 4-20 W, interiorDepartment Store"/>
    <x v="13"/>
    <x v="18"/>
    <n v="12"/>
    <s v="lamp"/>
    <n v="3.5999999999999997E-2"/>
    <n v="175"/>
    <n v="2"/>
    <n v="7.3964497041420119"/>
    <s v="Com Indoor Lighting"/>
  </r>
  <r>
    <s v="LED downlight, screw-in lamp, 4-20 W, interiorBig Box Retail"/>
    <x v="13"/>
    <x v="19"/>
    <n v="12"/>
    <s v="lamp"/>
    <n v="3.9E-2"/>
    <n v="219"/>
    <n v="2"/>
    <n v="5.8548009367681502"/>
    <s v="Com Indoor Lighting"/>
  </r>
  <r>
    <s v="LED downlight, screw-in lamp, 4-20 W, interiorSmall Retail"/>
    <x v="13"/>
    <x v="20"/>
    <n v="12"/>
    <s v="lamp"/>
    <n v="0.04"/>
    <n v="174"/>
    <n v="2"/>
    <n v="7.3964497041420119"/>
    <s v="Com Indoor Lighting"/>
  </r>
  <r>
    <s v="LED downlight, screw-in lamp, 4-20 W, interiorConditioned Storage"/>
    <x v="13"/>
    <x v="21"/>
    <n v="12"/>
    <s v="lamp"/>
    <n v="3.4000000000000002E-2"/>
    <n v="159"/>
    <n v="2"/>
    <n v="7.3099415204678362"/>
    <s v="Com Indoor Lighting"/>
  </r>
  <r>
    <s v="LED downlight, screw-in lamp, 4-20 W, interiorUnconditioned Storage"/>
    <x v="13"/>
    <x v="22"/>
    <n v="12"/>
    <s v="lamp"/>
    <n v="2.7E-2"/>
    <n v="163"/>
    <n v="2"/>
    <n v="7.3099415204678362"/>
    <s v="Com Indoor Lighting"/>
  </r>
  <r>
    <s v="LED downlight, screw-in lamp, 4-20 W, interiorRefrigerated Warehouse"/>
    <x v="13"/>
    <x v="23"/>
    <n v="12"/>
    <s v="lamp"/>
    <n v="3.4000000000000002E-2"/>
    <n v="367"/>
    <n v="2"/>
    <n v="5.2410901467505244"/>
    <s v="Com Indoor Lighting"/>
  </r>
  <r>
    <s v="LED MR16, pin-based lamp, interiorAssembly"/>
    <x v="14"/>
    <x v="1"/>
    <n v="8"/>
    <s v="lamp"/>
    <n v="7.0000000000000001E-3"/>
    <n v="42"/>
    <n v="3"/>
    <n v="9.5785440613026829"/>
    <s v="Com Indoor Lighting"/>
  </r>
  <r>
    <s v="LED MR16, pin-based lamp, interiorPrimary School"/>
    <x v="14"/>
    <x v="2"/>
    <n v="8"/>
    <s v="lamp"/>
    <n v="0"/>
    <n v="35"/>
    <n v="4"/>
    <n v="11.682242990654206"/>
    <s v="Com Indoor Lighting"/>
  </r>
  <r>
    <s v="LED MR16, pin-based lamp, interiorSecondary School"/>
    <x v="14"/>
    <x v="3"/>
    <n v="8"/>
    <s v="lamp"/>
    <n v="0"/>
    <n v="37"/>
    <n v="4"/>
    <n v="10.964912280701755"/>
    <s v="Com Indoor Lighting"/>
  </r>
  <r>
    <s v="LED MR16, pin-based lamp, interiorCommunity College"/>
    <x v="14"/>
    <x v="4"/>
    <n v="8"/>
    <s v="lamp"/>
    <n v="8.9999999999999993E-3"/>
    <n v="41"/>
    <n v="3"/>
    <n v="10.330578512396695"/>
    <s v="Com Indoor Lighting"/>
  </r>
  <r>
    <s v="LED MR16, pin-based lamp, interiorUniversity"/>
    <x v="14"/>
    <x v="5"/>
    <n v="8"/>
    <s v="lamp"/>
    <n v="8.9999999999999993E-3"/>
    <n v="40"/>
    <n v="4"/>
    <n v="10.638297872340425"/>
    <s v="Com Indoor Lighting"/>
  </r>
  <r>
    <s v="LED MR16, pin-based lamp, interiorRelocatable Classroom"/>
    <x v="14"/>
    <x v="6"/>
    <n v="8"/>
    <s v="lamp"/>
    <n v="0"/>
    <n v="40"/>
    <n v="3"/>
    <n v="10.080645161290322"/>
    <s v="Com Indoor Lighting"/>
  </r>
  <r>
    <s v="LED MR16, pin-based lamp, interiorGrocery"/>
    <x v="14"/>
    <x v="7"/>
    <n v="8"/>
    <s v="lamp"/>
    <n v="8.9999999999999993E-3"/>
    <n v="70"/>
    <n v="2"/>
    <n v="5.0916496945010179"/>
    <s v="Com Indoor Lighting"/>
  </r>
  <r>
    <s v="LED MR16, pin-based lamp, interiorHospital"/>
    <x v="14"/>
    <x v="8"/>
    <n v="8"/>
    <s v="lamp"/>
    <n v="1.2999999999999999E-2"/>
    <n v="89"/>
    <n v="2"/>
    <n v="4.752851711026616"/>
    <s v="Com Indoor Lighting"/>
  </r>
  <r>
    <s v="LED MR16, pin-based lamp, interiorNursing Home"/>
    <x v="14"/>
    <x v="9"/>
    <n v="8"/>
    <s v="lamp"/>
    <n v="1.0999999999999999E-2"/>
    <n v="67"/>
    <n v="2"/>
    <n v="6.009615384615385"/>
    <s v="Com Indoor Lighting"/>
  </r>
  <r>
    <s v="LED MR16, pin-based lamp, interiorHotel"/>
    <x v="14"/>
    <x v="10"/>
    <n v="8"/>
    <s v="lamp"/>
    <n v="4.0000000000000001E-3"/>
    <n v="30"/>
    <n v="4"/>
    <n v="12.820512820512821"/>
    <s v="Com Indoor Lighting"/>
  </r>
  <r>
    <s v="LED MR16, pin-based lamp, interiorMotel"/>
    <x v="14"/>
    <x v="11"/>
    <n v="8"/>
    <s v="lamp"/>
    <n v="3.0000000000000001E-3"/>
    <n v="25"/>
    <n v="5"/>
    <n v="15"/>
    <s v="Com Indoor Lighting"/>
  </r>
  <r>
    <s v="LED MR16, pin-based lamp, interiorBio/Tech Manufacturing"/>
    <x v="14"/>
    <x v="12"/>
    <n v="8"/>
    <s v="lamp"/>
    <n v="1.4E-2"/>
    <n v="60"/>
    <n v="2"/>
    <n v="7.0821529745042495"/>
    <s v="Com Indoor Lighting"/>
  </r>
  <r>
    <s v="LED MR16, pin-based lamp, interiorLight Industrial Manuf."/>
    <x v="14"/>
    <x v="13"/>
    <n v="8"/>
    <s v="lamp"/>
    <n v="1.4E-2"/>
    <n v="52"/>
    <n v="3"/>
    <n v="7.7639751552795033"/>
    <s v="Com Indoor Lighting"/>
  </r>
  <r>
    <s v="LED MR16, pin-based lamp, interiorLarge Office"/>
    <x v="14"/>
    <x v="14"/>
    <n v="8"/>
    <s v="lamp"/>
    <n v="1.2E-2"/>
    <n v="45"/>
    <n v="3"/>
    <n v="9.4696969696969688"/>
    <s v="Com Indoor Lighting"/>
  </r>
  <r>
    <s v="LED MR16, pin-based lamp, interiorSmall Office"/>
    <x v="14"/>
    <x v="15"/>
    <n v="8"/>
    <s v="lamp"/>
    <n v="1.2999999999999999E-2"/>
    <n v="42"/>
    <n v="3"/>
    <n v="9.6525096525096519"/>
    <s v="Com Indoor Lighting"/>
  </r>
  <r>
    <s v="LED MR16, pin-based lamp, interiorSit-Down Restaurant"/>
    <x v="14"/>
    <x v="16"/>
    <n v="8"/>
    <s v="lamp"/>
    <n v="1.4999999999999999E-2"/>
    <n v="77"/>
    <n v="2"/>
    <n v="5.1759834368530022"/>
    <s v="Com Indoor Lighting"/>
  </r>
  <r>
    <s v="LED MR16, pin-based lamp, interiorFast-Food Restaurant"/>
    <x v="14"/>
    <x v="17"/>
    <n v="8"/>
    <s v="lamp"/>
    <n v="1.4999999999999999E-2"/>
    <n v="78"/>
    <n v="2"/>
    <n v="5.1652892561983474"/>
    <s v="Com Indoor Lighting"/>
  </r>
  <r>
    <s v="LED MR16, pin-based lamp, interiorDepartment Store"/>
    <x v="14"/>
    <x v="18"/>
    <n v="8"/>
    <s v="lamp"/>
    <n v="1.2E-2"/>
    <n v="56"/>
    <n v="2"/>
    <n v="7.3964497041420119"/>
    <s v="Com Indoor Lighting"/>
  </r>
  <r>
    <s v="LED MR16, pin-based lamp, interiorBig Box Retail"/>
    <x v="14"/>
    <x v="19"/>
    <n v="8"/>
    <s v="lamp"/>
    <n v="1.2999999999999999E-2"/>
    <n v="70"/>
    <n v="2"/>
    <n v="5.8548009367681502"/>
    <s v="Com Indoor Lighting"/>
  </r>
  <r>
    <s v="LED MR16, pin-based lamp, interiorSmall Retail"/>
    <x v="14"/>
    <x v="20"/>
    <n v="8"/>
    <s v="lamp"/>
    <n v="1.2999999999999999E-2"/>
    <n v="56"/>
    <n v="2"/>
    <n v="7.3964497041420119"/>
    <s v="Com Indoor Lighting"/>
  </r>
  <r>
    <s v="LED MR16, pin-based lamp, interiorConditioned Storage"/>
    <x v="14"/>
    <x v="21"/>
    <n v="8"/>
    <s v="lamp"/>
    <n v="1.0999999999999999E-2"/>
    <n v="51"/>
    <n v="2"/>
    <n v="7.3099415204678362"/>
    <s v="Com Indoor Lighting"/>
  </r>
  <r>
    <s v="LED MR16, pin-based lamp, interiorUnconditioned Storage"/>
    <x v="14"/>
    <x v="22"/>
    <n v="8"/>
    <s v="lamp"/>
    <n v="8.9999999999999993E-3"/>
    <n v="52"/>
    <n v="2"/>
    <n v="7.3099415204678362"/>
    <s v="Com Indoor Lighting"/>
  </r>
  <r>
    <s v="LED MR16, pin-based lamp, interiorRefrigerated Warehouse"/>
    <x v="14"/>
    <x v="23"/>
    <n v="8"/>
    <s v="lamp"/>
    <n v="1.0999999999999999E-2"/>
    <n v="118"/>
    <n v="2"/>
    <n v="5.2410901467505244"/>
    <s v="Com Indoor Lighting"/>
  </r>
  <r>
    <s v="LED troffer, 2'X2' and 2'X4'Assembly"/>
    <x v="15"/>
    <x v="1"/>
    <n v="189"/>
    <s v="fixture"/>
    <n v="7.0000000000000001E-3"/>
    <n v="38"/>
    <n v="3"/>
    <n v="9.5785440613026829"/>
    <s v="Com Indoor Lighting"/>
  </r>
  <r>
    <s v="LED troffer, 2'X2' and 2'X4'Primary School"/>
    <x v="15"/>
    <x v="2"/>
    <n v="189"/>
    <s v="fixture"/>
    <n v="0"/>
    <n v="32"/>
    <n v="4"/>
    <n v="11.682242990654206"/>
    <s v="Com Indoor Lighting"/>
  </r>
  <r>
    <s v="LED troffer, 2'X2' and 2'X4'Secondary School"/>
    <x v="15"/>
    <x v="3"/>
    <n v="189"/>
    <s v="fixture"/>
    <n v="0"/>
    <n v="34"/>
    <n v="4"/>
    <n v="10.964912280701755"/>
    <s v="Com Indoor Lighting"/>
  </r>
  <r>
    <s v="LED troffer, 2'X2' and 2'X4'Community College"/>
    <x v="15"/>
    <x v="4"/>
    <n v="189"/>
    <s v="fixture"/>
    <n v="8.9999999999999993E-3"/>
    <n v="37"/>
    <n v="3"/>
    <n v="10.330578512396695"/>
    <s v="Com Indoor Lighting"/>
  </r>
  <r>
    <s v="LED troffer, 2'X2' and 2'X4'University"/>
    <x v="15"/>
    <x v="5"/>
    <n v="189"/>
    <s v="fixture"/>
    <n v="8.9999999999999993E-3"/>
    <n v="36"/>
    <n v="4"/>
    <n v="10.638297872340425"/>
    <s v="Com Indoor Lighting"/>
  </r>
  <r>
    <s v="LED troffer, 2'X2' and 2'X4'Relocatable Classroom"/>
    <x v="15"/>
    <x v="6"/>
    <n v="189"/>
    <s v="fixture"/>
    <n v="0"/>
    <n v="36"/>
    <n v="3"/>
    <n v="10.080645161290322"/>
    <s v="Com Indoor Lighting"/>
  </r>
  <r>
    <s v="LED troffer, 2'X2' and 2'X4'Grocery"/>
    <x v="15"/>
    <x v="7"/>
    <n v="189"/>
    <s v="fixture"/>
    <n v="8.9999999999999993E-3"/>
    <n v="64"/>
    <n v="2"/>
    <n v="5.0916496945010179"/>
    <s v="Com Indoor Lighting"/>
  </r>
  <r>
    <s v="LED troffer, 2'X2' and 2'X4'Hospital"/>
    <x v="15"/>
    <x v="8"/>
    <n v="189"/>
    <s v="fixture"/>
    <n v="1.2999999999999999E-2"/>
    <n v="81"/>
    <n v="2"/>
    <n v="4.752851711026616"/>
    <s v="Com Indoor Lighting"/>
  </r>
  <r>
    <s v="LED troffer, 2'X2' and 2'X4'Nursing Home"/>
    <x v="15"/>
    <x v="9"/>
    <n v="189"/>
    <s v="fixture"/>
    <n v="1.0999999999999999E-2"/>
    <n v="60"/>
    <n v="2"/>
    <n v="6.009615384615385"/>
    <s v="Com Indoor Lighting"/>
  </r>
  <r>
    <s v="LED troffer, 2'X2' and 2'X4'Hotel"/>
    <x v="15"/>
    <x v="10"/>
    <n v="189"/>
    <s v="fixture"/>
    <n v="4.0000000000000001E-3"/>
    <n v="27"/>
    <n v="4"/>
    <n v="12.820512820512821"/>
    <s v="Com Indoor Lighting"/>
  </r>
  <r>
    <s v="LED troffer, 2'X2' and 2'X4'Motel"/>
    <x v="15"/>
    <x v="11"/>
    <n v="189"/>
    <s v="fixture"/>
    <n v="3.0000000000000001E-3"/>
    <n v="23"/>
    <n v="5"/>
    <n v="15"/>
    <s v="Com Indoor Lighting"/>
  </r>
  <r>
    <s v="LED troffer, 2'X2' and 2'X4'Bio/Tech Manufacturing"/>
    <x v="15"/>
    <x v="12"/>
    <n v="189"/>
    <s v="fixture"/>
    <n v="1.4E-2"/>
    <n v="55"/>
    <n v="2"/>
    <n v="7.0821529745042495"/>
    <s v="Com Indoor Lighting"/>
  </r>
  <r>
    <s v="LED troffer, 2'X2' and 2'X4'Light Industrial Manuf."/>
    <x v="15"/>
    <x v="13"/>
    <n v="189"/>
    <s v="fixture"/>
    <n v="1.4E-2"/>
    <n v="47"/>
    <n v="3"/>
    <n v="7.7639751552795033"/>
    <s v="Com Indoor Lighting"/>
  </r>
  <r>
    <s v="LED troffer, 2'X2' and 2'X4'Large Office"/>
    <x v="15"/>
    <x v="14"/>
    <n v="189"/>
    <s v="fixture"/>
    <n v="1.2E-2"/>
    <n v="41"/>
    <n v="3"/>
    <n v="9.4696969696969688"/>
    <s v="Com Indoor Lighting"/>
  </r>
  <r>
    <s v="LED troffer, 2'X2' and 2'X4'Small Office"/>
    <x v="15"/>
    <x v="15"/>
    <n v="189"/>
    <s v="fixture"/>
    <n v="1.2999999999999999E-2"/>
    <n v="38"/>
    <n v="3"/>
    <n v="9.6525096525096519"/>
    <s v="Com Indoor Lighting"/>
  </r>
  <r>
    <s v="LED troffer, 2'X2' and 2'X4'Sit-Down Restaurant"/>
    <x v="15"/>
    <x v="16"/>
    <n v="189"/>
    <s v="fixture"/>
    <n v="1.4999999999999999E-2"/>
    <n v="70"/>
    <n v="2"/>
    <n v="5.1759834368530022"/>
    <s v="Com Indoor Lighting"/>
  </r>
  <r>
    <s v="LED troffer, 2'X2' and 2'X4'Fast-Food Restaurant"/>
    <x v="15"/>
    <x v="17"/>
    <n v="189"/>
    <s v="fixture"/>
    <n v="1.4999999999999999E-2"/>
    <n v="70"/>
    <n v="2"/>
    <n v="5.1652892561983474"/>
    <s v="Com Indoor Lighting"/>
  </r>
  <r>
    <s v="LED troffer, 2'X2' and 2'X4'Department Store"/>
    <x v="15"/>
    <x v="18"/>
    <n v="189"/>
    <s v="fixture"/>
    <n v="1.2E-2"/>
    <n v="51"/>
    <n v="2"/>
    <n v="7.3964497041420119"/>
    <s v="Com Indoor Lighting"/>
  </r>
  <r>
    <s v="LED troffer, 2'X2' and 2'X4'Big Box Retail"/>
    <x v="15"/>
    <x v="19"/>
    <n v="189"/>
    <s v="fixture"/>
    <n v="1.2999999999999999E-2"/>
    <n v="64"/>
    <n v="2"/>
    <n v="5.8548009367681502"/>
    <s v="Com Indoor Lighting"/>
  </r>
  <r>
    <s v="LED troffer, 2'X2' and 2'X4'Small Retail"/>
    <x v="15"/>
    <x v="20"/>
    <n v="189"/>
    <s v="fixture"/>
    <n v="1.2999999999999999E-2"/>
    <n v="51"/>
    <n v="2"/>
    <n v="7.3964497041420119"/>
    <s v="Com Indoor Lighting"/>
  </r>
  <r>
    <s v="LED troffer, 2'X2' and 2'X4'Conditioned Storage"/>
    <x v="15"/>
    <x v="21"/>
    <n v="189"/>
    <s v="fixture"/>
    <n v="1.0999999999999999E-2"/>
    <n v="46"/>
    <n v="2"/>
    <n v="7.3099415204678362"/>
    <s v="Com Indoor Lighting"/>
  </r>
  <r>
    <s v="LED troffer, 2'X2' and 2'X4'Unconditioned Storage"/>
    <x v="15"/>
    <x v="22"/>
    <n v="189"/>
    <s v="fixture"/>
    <n v="8.9999999999999993E-3"/>
    <n v="47"/>
    <n v="2"/>
    <n v="7.3099415204678362"/>
    <s v="Com Indoor Lighting"/>
  </r>
  <r>
    <s v="LED troffer, 2'X2' and 2'X4'Refrigerated Warehouse"/>
    <x v="15"/>
    <x v="23"/>
    <n v="189"/>
    <s v="fixture"/>
    <n v="1.0999999999999999E-2"/>
    <n v="107"/>
    <n v="2"/>
    <n v="5.2410901467505244"/>
    <s v="Com Indoor Lighting"/>
  </r>
  <r>
    <s v="LED troffer retrofit kit, 2'X2' and 2'X4'Assembly"/>
    <x v="16"/>
    <x v="1"/>
    <n v="131"/>
    <s v="fixture"/>
    <n v="7.0000000000000001E-3"/>
    <n v="59"/>
    <n v="3"/>
    <n v="9.5785440613026829"/>
    <s v="Com Indoor Lighting"/>
  </r>
  <r>
    <s v="LED troffer retrofit kit, 2'X2' and 2'X4'Primary School"/>
    <x v="16"/>
    <x v="2"/>
    <n v="131"/>
    <s v="fixture"/>
    <n v="0"/>
    <n v="50"/>
    <n v="4"/>
    <n v="11.682242990654206"/>
    <s v="Com Indoor Lighting"/>
  </r>
  <r>
    <s v="LED troffer retrofit kit, 2'X2' and 2'X4'Secondary School"/>
    <x v="16"/>
    <x v="3"/>
    <n v="131"/>
    <s v="fixture"/>
    <n v="0"/>
    <n v="53"/>
    <n v="4"/>
    <n v="10.964912280701755"/>
    <s v="Com Indoor Lighting"/>
  </r>
  <r>
    <s v="LED troffer retrofit kit, 2'X2' and 2'X4'Community College"/>
    <x v="16"/>
    <x v="4"/>
    <n v="131"/>
    <s v="fixture"/>
    <n v="8.9999999999999993E-3"/>
    <n v="58"/>
    <n v="3"/>
    <n v="10.330578512396695"/>
    <s v="Com Indoor Lighting"/>
  </r>
  <r>
    <s v="LED troffer retrofit kit, 2'X2' and 2'X4'University"/>
    <x v="16"/>
    <x v="5"/>
    <n v="131"/>
    <s v="fixture"/>
    <n v="8.9999999999999993E-3"/>
    <n v="57"/>
    <n v="4"/>
    <n v="10.638297872340425"/>
    <s v="Com Indoor Lighting"/>
  </r>
  <r>
    <s v="LED troffer retrofit kit, 2'X2' and 2'X4'Relocatable Classroom"/>
    <x v="16"/>
    <x v="6"/>
    <n v="131"/>
    <s v="fixture"/>
    <n v="0"/>
    <n v="56"/>
    <n v="3"/>
    <n v="10.080645161290322"/>
    <s v="Com Indoor Lighting"/>
  </r>
  <r>
    <s v="LED troffer retrofit kit, 2'X2' and 2'X4'Grocery"/>
    <x v="16"/>
    <x v="7"/>
    <n v="131"/>
    <s v="fixture"/>
    <n v="8.9999999999999993E-3"/>
    <n v="100"/>
    <n v="2"/>
    <n v="5.0916496945010179"/>
    <s v="Com Indoor Lighting"/>
  </r>
  <r>
    <s v="LED troffer retrofit kit, 2'X2' and 2'X4'Hospital"/>
    <x v="16"/>
    <x v="8"/>
    <n v="131"/>
    <s v="fixture"/>
    <n v="1.2999999999999999E-2"/>
    <n v="126"/>
    <n v="2"/>
    <n v="4.752851711026616"/>
    <s v="Com Indoor Lighting"/>
  </r>
  <r>
    <s v="LED troffer retrofit kit, 2'X2' and 2'X4'Nursing Home"/>
    <x v="16"/>
    <x v="9"/>
    <n v="131"/>
    <s v="fixture"/>
    <n v="1.0999999999999999E-2"/>
    <n v="95"/>
    <n v="2"/>
    <n v="6.009615384615385"/>
    <s v="Com Indoor Lighting"/>
  </r>
  <r>
    <s v="LED troffer retrofit kit, 2'X2' and 2'X4'Hotel"/>
    <x v="16"/>
    <x v="10"/>
    <n v="131"/>
    <s v="fixture"/>
    <n v="4.0000000000000001E-3"/>
    <n v="43"/>
    <n v="4"/>
    <n v="12.820512820512821"/>
    <s v="Com Indoor Lighting"/>
  </r>
  <r>
    <s v="LED troffer retrofit kit, 2'X2' and 2'X4'Motel"/>
    <x v="16"/>
    <x v="11"/>
    <n v="131"/>
    <s v="fixture"/>
    <n v="3.0000000000000001E-3"/>
    <n v="35"/>
    <n v="5"/>
    <n v="15"/>
    <s v="Com Indoor Lighting"/>
  </r>
  <r>
    <s v="LED troffer retrofit kit, 2'X2' and 2'X4'Bio/Tech Manufacturing"/>
    <x v="16"/>
    <x v="12"/>
    <n v="131"/>
    <s v="fixture"/>
    <n v="1.4E-2"/>
    <n v="86"/>
    <n v="2"/>
    <n v="7.0821529745042495"/>
    <s v="Com Indoor Lighting"/>
  </r>
  <r>
    <s v="LED troffer retrofit kit, 2'X2' and 2'X4'Light Industrial Manuf."/>
    <x v="16"/>
    <x v="13"/>
    <n v="131"/>
    <s v="fixture"/>
    <n v="1.4E-2"/>
    <n v="73"/>
    <n v="3"/>
    <n v="7.7639751552795033"/>
    <s v="Com Indoor Lighting"/>
  </r>
  <r>
    <s v="LED troffer retrofit kit, 2'X2' and 2'X4'Large Office"/>
    <x v="16"/>
    <x v="14"/>
    <n v="131"/>
    <s v="fixture"/>
    <n v="1.2E-2"/>
    <n v="64"/>
    <n v="3"/>
    <n v="9.4696969696969688"/>
    <s v="Com Indoor Lighting"/>
  </r>
  <r>
    <s v="LED troffer retrofit kit, 2'X2' and 2'X4'Small Office"/>
    <x v="16"/>
    <x v="15"/>
    <n v="131"/>
    <s v="fixture"/>
    <n v="1.2999999999999999E-2"/>
    <n v="60"/>
    <n v="3"/>
    <n v="9.6525096525096519"/>
    <s v="Com Indoor Lighting"/>
  </r>
  <r>
    <s v="LED troffer retrofit kit, 2'X2' and 2'X4'Sit-Down Restaurant"/>
    <x v="16"/>
    <x v="16"/>
    <n v="131"/>
    <s v="fixture"/>
    <n v="1.4999999999999999E-2"/>
    <n v="109"/>
    <n v="2"/>
    <n v="5.1759834368530022"/>
    <s v="Com Indoor Lighting"/>
  </r>
  <r>
    <s v="LED troffer retrofit kit, 2'X2' and 2'X4'Fast-Food Restaurant"/>
    <x v="16"/>
    <x v="17"/>
    <n v="131"/>
    <s v="fixture"/>
    <n v="1.4999999999999999E-2"/>
    <n v="110"/>
    <n v="2"/>
    <n v="5.1652892561983474"/>
    <s v="Com Indoor Lighting"/>
  </r>
  <r>
    <s v="LED troffer retrofit kit, 2'X2' and 2'X4'Department Store"/>
    <x v="16"/>
    <x v="18"/>
    <n v="131"/>
    <s v="fixture"/>
    <n v="1.2E-2"/>
    <n v="80"/>
    <n v="2"/>
    <n v="7.3964497041420119"/>
    <s v="Com Indoor Lighting"/>
  </r>
  <r>
    <s v="LED troffer retrofit kit, 2'X2' and 2'X4'Big Box Retail"/>
    <x v="16"/>
    <x v="19"/>
    <n v="131"/>
    <s v="fixture"/>
    <n v="1.2999999999999999E-2"/>
    <n v="100"/>
    <n v="2"/>
    <n v="5.8548009367681502"/>
    <s v="Com Indoor Lighting"/>
  </r>
  <r>
    <s v="LED troffer retrofit kit, 2'X2' and 2'X4'Small Retail"/>
    <x v="16"/>
    <x v="20"/>
    <n v="131"/>
    <s v="fixture"/>
    <n v="1.2999999999999999E-2"/>
    <n v="79"/>
    <n v="2"/>
    <n v="7.3964497041420119"/>
    <s v="Com Indoor Lighting"/>
  </r>
  <r>
    <s v="LED troffer retrofit kit, 2'X2' and 2'X4'Conditioned Storage"/>
    <x v="16"/>
    <x v="21"/>
    <n v="131"/>
    <s v="fixture"/>
    <n v="1.0999999999999999E-2"/>
    <n v="73"/>
    <n v="2"/>
    <n v="7.3099415204678362"/>
    <s v="Com Indoor Lighting"/>
  </r>
  <r>
    <s v="LED troffer retrofit kit, 2'X2' and 2'X4'Unconditioned Storage"/>
    <x v="16"/>
    <x v="22"/>
    <n v="131"/>
    <s v="fixture"/>
    <n v="8.9999999999999993E-3"/>
    <n v="74"/>
    <n v="2"/>
    <n v="7.3099415204678362"/>
    <s v="Com Indoor Lighting"/>
  </r>
  <r>
    <s v="LED troffer retrofit kit, 2'X2' and 2'X4'Refrigerated Warehouse"/>
    <x v="16"/>
    <x v="23"/>
    <n v="131"/>
    <s v="fixture"/>
    <n v="1.0999999999999999E-2"/>
    <n v="167"/>
    <n v="2"/>
    <n v="5.2410901467505244"/>
    <s v="Com Indoor Lighting"/>
  </r>
  <r>
    <s v="LED high bay fixtureAssembly"/>
    <x v="17"/>
    <x v="1"/>
    <n v="392"/>
    <s v="fixture"/>
    <n v="7.0000000000000001E-3"/>
    <n v="701"/>
    <n v="3"/>
    <n v="9.5785440613026829"/>
    <s v="Com Indoor Lighting"/>
  </r>
  <r>
    <s v="LED high bay fixturePrimary School"/>
    <x v="17"/>
    <x v="2"/>
    <n v="392"/>
    <s v="fixture"/>
    <n v="0"/>
    <n v="591"/>
    <n v="4"/>
    <n v="11.682242990654206"/>
    <s v="Com Indoor Lighting"/>
  </r>
  <r>
    <s v="LED high bay fixtureSecondary School"/>
    <x v="17"/>
    <x v="3"/>
    <n v="392"/>
    <s v="fixture"/>
    <n v="0"/>
    <n v="624"/>
    <n v="4"/>
    <n v="10.964912280701755"/>
    <s v="Com Indoor Lighting"/>
  </r>
  <r>
    <s v="LED high bay fixtureCommunity College"/>
    <x v="17"/>
    <x v="4"/>
    <n v="392"/>
    <s v="fixture"/>
    <n v="8.9999999999999993E-3"/>
    <n v="687"/>
    <n v="3"/>
    <n v="10.330578512396695"/>
    <s v="Com Indoor Lighting"/>
  </r>
  <r>
    <s v="LED high bay fixtureUniversity"/>
    <x v="17"/>
    <x v="5"/>
    <n v="392"/>
    <s v="fixture"/>
    <n v="8.9999999999999993E-3"/>
    <n v="673"/>
    <n v="4"/>
    <n v="10.638297872340425"/>
    <s v="Com Indoor Lighting"/>
  </r>
  <r>
    <s v="LED high bay fixtureRelocatable Classroom"/>
    <x v="17"/>
    <x v="6"/>
    <n v="392"/>
    <s v="fixture"/>
    <n v="0"/>
    <n v="666"/>
    <n v="3"/>
    <n v="10.080645161290322"/>
    <s v="Com Indoor Lighting"/>
  </r>
  <r>
    <s v="LED high bay fixtureGrocery"/>
    <x v="17"/>
    <x v="7"/>
    <n v="392"/>
    <s v="fixture"/>
    <n v="8.9999999999999993E-3"/>
    <n v="1181"/>
    <n v="2"/>
    <n v="5.0916496945010179"/>
    <s v="Com Indoor Lighting"/>
  </r>
  <r>
    <s v="LED high bay fixtureHospital"/>
    <x v="17"/>
    <x v="8"/>
    <n v="392"/>
    <s v="fixture"/>
    <n v="1.2999999999999999E-2"/>
    <n v="1494"/>
    <n v="2"/>
    <n v="4.752851711026616"/>
    <s v="Com Indoor Lighting"/>
  </r>
  <r>
    <s v="LED high bay fixtureNursing Home"/>
    <x v="17"/>
    <x v="9"/>
    <n v="392"/>
    <s v="fixture"/>
    <n v="1.0999999999999999E-2"/>
    <n v="1118"/>
    <n v="2"/>
    <n v="6.009615384615385"/>
    <s v="Com Indoor Lighting"/>
  </r>
  <r>
    <s v="LED high bay fixtureHotel"/>
    <x v="17"/>
    <x v="10"/>
    <n v="392"/>
    <s v="fixture"/>
    <n v="4.0000000000000001E-3"/>
    <n v="504"/>
    <n v="4"/>
    <n v="12.820512820512821"/>
    <s v="Com Indoor Lighting"/>
  </r>
  <r>
    <s v="LED high bay fixtureMotel"/>
    <x v="17"/>
    <x v="11"/>
    <n v="392"/>
    <s v="fixture"/>
    <n v="3.0000000000000001E-3"/>
    <n v="416"/>
    <n v="5"/>
    <n v="15"/>
    <s v="Com Indoor Lighting"/>
  </r>
  <r>
    <s v="LED high bay fixtureBio/Tech Manufacturing"/>
    <x v="17"/>
    <x v="12"/>
    <n v="392"/>
    <s v="fixture"/>
    <n v="1.4E-2"/>
    <n v="1012"/>
    <n v="2"/>
    <n v="7.0821529745042495"/>
    <s v="Com Indoor Lighting"/>
  </r>
  <r>
    <s v="LED high bay fixtureLight Industrial Manuf."/>
    <x v="17"/>
    <x v="13"/>
    <n v="392"/>
    <s v="fixture"/>
    <n v="1.4E-2"/>
    <n v="865"/>
    <n v="3"/>
    <n v="7.7639751552795033"/>
    <s v="Com Indoor Lighting"/>
  </r>
  <r>
    <s v="LED high bay fixtureLarge Office"/>
    <x v="17"/>
    <x v="14"/>
    <n v="392"/>
    <s v="fixture"/>
    <n v="1.2E-2"/>
    <n v="756"/>
    <n v="3"/>
    <n v="9.4696969696969688"/>
    <s v="Com Indoor Lighting"/>
  </r>
  <r>
    <s v="LED high bay fixtureSmall Office"/>
    <x v="17"/>
    <x v="15"/>
    <n v="392"/>
    <s v="fixture"/>
    <n v="1.2999999999999999E-2"/>
    <n v="709"/>
    <n v="3"/>
    <n v="9.6525096525096519"/>
    <s v="Com Indoor Lighting"/>
  </r>
  <r>
    <s v="LED high bay fixtureSit-Down Restaurant"/>
    <x v="17"/>
    <x v="16"/>
    <n v="392"/>
    <s v="fixture"/>
    <n v="1.4999999999999999E-2"/>
    <n v="1285"/>
    <n v="2"/>
    <n v="5.1759834368530022"/>
    <s v="Com Indoor Lighting"/>
  </r>
  <r>
    <s v="LED high bay fixtureFast-Food Restaurant"/>
    <x v="17"/>
    <x v="17"/>
    <n v="392"/>
    <s v="fixture"/>
    <n v="1.4999999999999999E-2"/>
    <n v="1300"/>
    <n v="2"/>
    <n v="5.1652892561983474"/>
    <s v="Com Indoor Lighting"/>
  </r>
  <r>
    <s v="LED high bay fixtureDepartment Store"/>
    <x v="17"/>
    <x v="18"/>
    <n v="392"/>
    <s v="fixture"/>
    <n v="1.2E-2"/>
    <n v="943"/>
    <n v="2"/>
    <n v="7.3964497041420119"/>
    <s v="Com Indoor Lighting"/>
  </r>
  <r>
    <s v="LED high bay fixtureBig Box Retail"/>
    <x v="17"/>
    <x v="19"/>
    <n v="392"/>
    <s v="fixture"/>
    <n v="1.2999999999999999E-2"/>
    <n v="1180"/>
    <n v="2"/>
    <n v="5.8548009367681502"/>
    <s v="Com Indoor Lighting"/>
  </r>
  <r>
    <s v="LED high bay fixtureSmall Retail"/>
    <x v="17"/>
    <x v="20"/>
    <n v="392"/>
    <s v="fixture"/>
    <n v="1.2999999999999999E-2"/>
    <n v="934"/>
    <n v="2"/>
    <n v="7.3964497041420119"/>
    <s v="Com Indoor Lighting"/>
  </r>
  <r>
    <s v="LED high bay fixtureConditioned Storage"/>
    <x v="17"/>
    <x v="21"/>
    <n v="392"/>
    <s v="fixture"/>
    <n v="1.0999999999999999E-2"/>
    <n v="858"/>
    <n v="2"/>
    <n v="7.3099415204678362"/>
    <s v="Com Indoor Lighting"/>
  </r>
  <r>
    <s v="LED high bay fixtureUnconditioned Storage"/>
    <x v="17"/>
    <x v="22"/>
    <n v="392"/>
    <s v="fixture"/>
    <n v="8.9999999999999993E-3"/>
    <n v="875"/>
    <n v="2"/>
    <n v="7.3099415204678362"/>
    <s v="Com Indoor Lighting"/>
  </r>
  <r>
    <s v="LED high bay fixtureRefrigerated Warehouse"/>
    <x v="17"/>
    <x v="23"/>
    <n v="392"/>
    <s v="fixture"/>
    <n v="1.0999999999999999E-2"/>
    <n v="1977"/>
    <n v="2"/>
    <n v="5.2410901467505244"/>
    <s v="Com Indoor Lighting"/>
  </r>
  <r>
    <s v="LED low bay fixtureAssembly"/>
    <x v="18"/>
    <x v="1"/>
    <n v="280"/>
    <s v="fixture"/>
    <n v="7.0000000000000001E-3"/>
    <n v="202"/>
    <n v="3"/>
    <n v="9.5785440613026829"/>
    <s v="Com Indoor Lighting"/>
  </r>
  <r>
    <s v="LED low bay fixturePrimary School"/>
    <x v="18"/>
    <x v="2"/>
    <n v="280"/>
    <s v="fixture"/>
    <n v="0"/>
    <n v="171"/>
    <n v="4"/>
    <n v="11.682242990654206"/>
    <s v="Com Indoor Lighting"/>
  </r>
  <r>
    <s v="LED low bay fixtureSecondary School"/>
    <x v="18"/>
    <x v="3"/>
    <n v="280"/>
    <s v="fixture"/>
    <n v="0"/>
    <n v="180"/>
    <n v="4"/>
    <n v="10.964912280701755"/>
    <s v="Com Indoor Lighting"/>
  </r>
  <r>
    <s v="LED low bay fixtureCommunity College"/>
    <x v="18"/>
    <x v="4"/>
    <n v="280"/>
    <s v="fixture"/>
    <n v="8.9999999999999993E-3"/>
    <n v="198"/>
    <n v="3"/>
    <n v="10.330578512396695"/>
    <s v="Com Indoor Lighting"/>
  </r>
  <r>
    <s v="LED low bay fixtureUniversity"/>
    <x v="18"/>
    <x v="5"/>
    <n v="280"/>
    <s v="fixture"/>
    <n v="8.9999999999999993E-3"/>
    <n v="194"/>
    <n v="4"/>
    <n v="10.638297872340425"/>
    <s v="Com Indoor Lighting"/>
  </r>
  <r>
    <s v="LED low bay fixtureRelocatable Classroom"/>
    <x v="18"/>
    <x v="6"/>
    <n v="280"/>
    <s v="fixture"/>
    <n v="0"/>
    <n v="192"/>
    <n v="3"/>
    <n v="10.080645161290322"/>
    <s v="Com Indoor Lighting"/>
  </r>
  <r>
    <s v="LED low bay fixtureGrocery"/>
    <x v="18"/>
    <x v="7"/>
    <n v="280"/>
    <s v="fixture"/>
    <n v="8.9999999999999993E-3"/>
    <n v="341"/>
    <n v="2"/>
    <n v="5.0916496945010179"/>
    <s v="Com Indoor Lighting"/>
  </r>
  <r>
    <s v="LED low bay fixtureHospital"/>
    <x v="18"/>
    <x v="8"/>
    <n v="280"/>
    <s v="fixture"/>
    <n v="1.2999999999999999E-2"/>
    <n v="431"/>
    <n v="2"/>
    <n v="4.752851711026616"/>
    <s v="Com Indoor Lighting"/>
  </r>
  <r>
    <s v="LED low bay fixtureNursing Home"/>
    <x v="18"/>
    <x v="9"/>
    <n v="280"/>
    <s v="fixture"/>
    <n v="1.0999999999999999E-2"/>
    <n v="322"/>
    <n v="2"/>
    <n v="6.009615384615385"/>
    <s v="Com Indoor Lighting"/>
  </r>
  <r>
    <s v="LED low bay fixtureHotel"/>
    <x v="18"/>
    <x v="10"/>
    <n v="280"/>
    <s v="fixture"/>
    <n v="4.0000000000000001E-3"/>
    <n v="145"/>
    <n v="4"/>
    <n v="12.820512820512821"/>
    <s v="Com Indoor Lighting"/>
  </r>
  <r>
    <s v="LED low bay fixtureMotel"/>
    <x v="18"/>
    <x v="11"/>
    <n v="280"/>
    <s v="fixture"/>
    <n v="3.0000000000000001E-3"/>
    <n v="120"/>
    <n v="5"/>
    <n v="15"/>
    <s v="Com Indoor Lighting"/>
  </r>
  <r>
    <s v="LED low bay fixtureBio/Tech Manufacturing"/>
    <x v="18"/>
    <x v="12"/>
    <n v="280"/>
    <s v="fixture"/>
    <n v="1.4E-2"/>
    <n v="292"/>
    <n v="2"/>
    <n v="7.0821529745042495"/>
    <s v="Com Indoor Lighting"/>
  </r>
  <r>
    <s v="LED low bay fixtureLight Industrial Manuf."/>
    <x v="18"/>
    <x v="13"/>
    <n v="280"/>
    <s v="fixture"/>
    <n v="1.4E-2"/>
    <n v="249"/>
    <n v="3"/>
    <n v="7.7639751552795033"/>
    <s v="Com Indoor Lighting"/>
  </r>
  <r>
    <s v="LED low bay fixtureLarge Office"/>
    <x v="18"/>
    <x v="14"/>
    <n v="280"/>
    <s v="fixture"/>
    <n v="1.2E-2"/>
    <n v="218"/>
    <n v="3"/>
    <n v="9.4696969696969688"/>
    <s v="Com Indoor Lighting"/>
  </r>
  <r>
    <s v="LED low bay fixtureSmall Office"/>
    <x v="18"/>
    <x v="15"/>
    <n v="280"/>
    <s v="fixture"/>
    <n v="1.2999999999999999E-2"/>
    <n v="204"/>
    <n v="3"/>
    <n v="9.6525096525096519"/>
    <s v="Com Indoor Lighting"/>
  </r>
  <r>
    <s v="LED low bay fixtureSit-Down Restaurant"/>
    <x v="18"/>
    <x v="16"/>
    <n v="280"/>
    <s v="fixture"/>
    <n v="1.4999999999999999E-2"/>
    <n v="371"/>
    <n v="2"/>
    <n v="5.1759834368530022"/>
    <s v="Com Indoor Lighting"/>
  </r>
  <r>
    <s v="LED low bay fixtureFast-Food Restaurant"/>
    <x v="18"/>
    <x v="17"/>
    <n v="280"/>
    <s v="fixture"/>
    <n v="1.4999999999999999E-2"/>
    <n v="375"/>
    <n v="2"/>
    <n v="5.1652892561983474"/>
    <s v="Com Indoor Lighting"/>
  </r>
  <r>
    <s v="LED low bay fixtureDepartment Store"/>
    <x v="18"/>
    <x v="18"/>
    <n v="280"/>
    <s v="fixture"/>
    <n v="1.2E-2"/>
    <n v="272"/>
    <n v="2"/>
    <n v="7.3964497041420119"/>
    <s v="Com Indoor Lighting"/>
  </r>
  <r>
    <s v="LED low bay fixtureBig Box Retail"/>
    <x v="18"/>
    <x v="19"/>
    <n v="280"/>
    <s v="fixture"/>
    <n v="1.2999999999999999E-2"/>
    <n v="340"/>
    <n v="2"/>
    <n v="5.8548009367681502"/>
    <s v="Com Indoor Lighting"/>
  </r>
  <r>
    <s v="LED low bay fixtureSmall Retail"/>
    <x v="18"/>
    <x v="20"/>
    <n v="280"/>
    <s v="fixture"/>
    <n v="1.2999999999999999E-2"/>
    <n v="269"/>
    <n v="2"/>
    <n v="7.3964497041420119"/>
    <s v="Com Indoor Lighting"/>
  </r>
  <r>
    <s v="LED low bay fixtureConditioned Storage"/>
    <x v="18"/>
    <x v="21"/>
    <n v="280"/>
    <s v="fixture"/>
    <n v="1.0999999999999999E-2"/>
    <n v="247"/>
    <n v="2"/>
    <n v="7.3099415204678362"/>
    <s v="Com Indoor Lighting"/>
  </r>
  <r>
    <s v="LED low bay fixtureUnconditioned Storage"/>
    <x v="18"/>
    <x v="22"/>
    <n v="280"/>
    <s v="fixture"/>
    <n v="8.9999999999999993E-3"/>
    <n v="252"/>
    <n v="2"/>
    <n v="7.3099415204678362"/>
    <s v="Com Indoor Lighting"/>
  </r>
  <r>
    <s v="LED low bay fixtureRefrigerated Warehouse"/>
    <x v="18"/>
    <x v="23"/>
    <n v="280"/>
    <s v="fixture"/>
    <n v="1.0999999999999999E-2"/>
    <n v="570"/>
    <n v="2"/>
    <n v="5.2410901467505244"/>
    <s v="Com Indoor Lightin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27" firstHeaderRow="1" firstDataRow="1" firstDataCol="1" rowPageCount="1" colPageCount="1"/>
  <pivotFields count="10">
    <pivotField showAll="0"/>
    <pivotField axis="axisPage" showAll="0">
      <items count="20">
        <item x="11"/>
        <item x="10"/>
        <item x="12"/>
        <item x="13"/>
        <item x="6"/>
        <item x="7"/>
        <item x="17"/>
        <item x="18"/>
        <item x="14"/>
        <item x="8"/>
        <item x="9"/>
        <item x="4"/>
        <item x="5"/>
        <item x="1"/>
        <item x="0"/>
        <item x="16"/>
        <item x="15"/>
        <item x="2"/>
        <item x="3"/>
        <item t="default"/>
      </items>
    </pivotField>
    <pivotField axis="axisRow" showAll="0">
      <items count="25">
        <item x="1"/>
        <item x="19"/>
        <item x="12"/>
        <item x="4"/>
        <item x="21"/>
        <item x="18"/>
        <item x="17"/>
        <item x="7"/>
        <item x="8"/>
        <item x="10"/>
        <item x="14"/>
        <item x="13"/>
        <item x="11"/>
        <item x="0"/>
        <item x="9"/>
        <item x="2"/>
        <item x="23"/>
        <item x="6"/>
        <item x="3"/>
        <item x="16"/>
        <item x="15"/>
        <item x="20"/>
        <item x="22"/>
        <item x="5"/>
        <item t="default"/>
      </items>
    </pivotField>
    <pivotField numFmtId="3" showAll="0"/>
    <pivotField showAll="0"/>
    <pivotField numFmtId="3" showAll="0"/>
    <pivotField dataField="1" numFmtId="3" showAll="0"/>
    <pivotField numFmtId="3" showAll="0"/>
    <pivotField numFmtId="3" showAll="0"/>
    <pivotField showAll="0"/>
  </pivotFields>
  <rowFields count="1">
    <field x="2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pageFields count="1">
    <pageField fld="1" item="7" hier="-1"/>
  </pageFields>
  <dataFields count="1">
    <dataField name="Sum of Annual kWh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0000000}" name="Table21" displayName="Table21" ref="E15:F20" totalsRowShown="0" headerRowDxfId="332" dataDxfId="331">
  <tableColumns count="2">
    <tableColumn id="1" xr3:uid="{00000000-0010-0000-0000-000001000000}" name="Tab Name" dataDxfId="330"/>
    <tableColumn id="2" xr3:uid="{00000000-0010-0000-0000-000002000000}" name="Description" dataDxfId="329"/>
  </tableColumns>
  <tableStyleInfo name="ERS Repor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Commercial_Refrigerator_Solid_Doors" displayName="Commercial_Refrigerator_Solid_Doors" ref="B37:E41" totalsRowShown="0" headerRowDxfId="130" dataDxfId="128" headerRowBorderDxfId="129" tableBorderDxfId="127" totalsRowBorderDxfId="126">
  <tableColumns count="4">
    <tableColumn id="1" xr3:uid="{00000000-0010-0000-0900-000001000000}" name="Size" dataDxfId="125"/>
    <tableColumn id="2" xr3:uid="{00000000-0010-0000-0900-000002000000}" name="Units" dataDxfId="124"/>
    <tableColumn id="3" xr3:uid="{00000000-0010-0000-0900-000003000000}" name="Rebate Level" dataDxfId="123"/>
    <tableColumn id="4" xr3:uid="{00000000-0010-0000-0900-000004000000}" name="Rebate Unit" dataDxfId="122"/>
  </tableColumns>
  <tableStyleInfo name="ERS Repor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Commercial_Freezer_Solid_Doors" displayName="Commercial_Freezer_Solid_Doors" ref="B44:E48" totalsRowShown="0" headerRowDxfId="121" dataDxfId="119" headerRowBorderDxfId="120" tableBorderDxfId="118" totalsRowBorderDxfId="117">
  <tableColumns count="4">
    <tableColumn id="1" xr3:uid="{00000000-0010-0000-0A00-000001000000}" name="Size" dataDxfId="116"/>
    <tableColumn id="2" xr3:uid="{00000000-0010-0000-0A00-000002000000}" name="Units" dataDxfId="115"/>
    <tableColumn id="3" xr3:uid="{00000000-0010-0000-0A00-000003000000}" name="Rebate Level" dataDxfId="114"/>
    <tableColumn id="4" xr3:uid="{00000000-0010-0000-0A00-000004000000}" name="Rebate Unit" dataDxfId="113"/>
  </tableColumns>
  <tableStyleInfo name="ERS Repor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Commercial_Refrigerator_Glass_Doors" displayName="Commercial_Refrigerator_Glass_Doors" ref="B51:E55" totalsRowShown="0" headerRowDxfId="112" dataDxfId="110" headerRowBorderDxfId="111" tableBorderDxfId="109" totalsRowBorderDxfId="108">
  <tableColumns count="4">
    <tableColumn id="1" xr3:uid="{00000000-0010-0000-0B00-000001000000}" name="Size" dataDxfId="107"/>
    <tableColumn id="2" xr3:uid="{00000000-0010-0000-0B00-000002000000}" name="Units" dataDxfId="106"/>
    <tableColumn id="3" xr3:uid="{00000000-0010-0000-0B00-000003000000}" name="Rebate Level" dataDxfId="105"/>
    <tableColumn id="4" xr3:uid="{00000000-0010-0000-0B00-000004000000}" name="Rebate Unit" dataDxfId="104"/>
  </tableColumns>
  <tableStyleInfo name="ERS Repor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Insulated_Holding_Cabinet" displayName="Insulated_Holding_Cabinet" ref="B58:E60" totalsRowShown="0" headerRowDxfId="103" dataDxfId="101" headerRowBorderDxfId="102" tableBorderDxfId="100" totalsRowBorderDxfId="99">
  <tableColumns count="4">
    <tableColumn id="1" xr3:uid="{00000000-0010-0000-0C00-000001000000}" name="Size (Full or Half)" dataDxfId="98"/>
    <tableColumn id="4" xr3:uid="{00000000-0010-0000-0C00-000004000000}" name="Full or Half" dataDxfId="97"/>
    <tableColumn id="2" xr3:uid="{00000000-0010-0000-0C00-000002000000}" name="Rebate Level" dataDxfId="96"/>
    <tableColumn id="3" xr3:uid="{00000000-0010-0000-0C00-000003000000}" name="Rebate Unit" dataDxfId="95"/>
  </tableColumns>
  <tableStyleInfo name="ERS Repor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Electric_Combination_Oven" displayName="Electric_Combination_Oven" ref="B63:E66" totalsRowShown="0" headerRowDxfId="94" dataDxfId="92" headerRowBorderDxfId="93" tableBorderDxfId="91" totalsRowBorderDxfId="90">
  <tableColumns count="4">
    <tableColumn id="1" xr3:uid="{00000000-0010-0000-0D00-000001000000}" name="Size" dataDxfId="89"/>
    <tableColumn id="2" xr3:uid="{00000000-0010-0000-0D00-000002000000}" name="Units" dataDxfId="88"/>
    <tableColumn id="3" xr3:uid="{00000000-0010-0000-0D00-000003000000}" name="Rebate Level" dataDxfId="87"/>
    <tableColumn id="4" xr3:uid="{00000000-0010-0000-0D00-000004000000}" name="Rebate Unit" dataDxfId="86"/>
  </tableColumns>
  <tableStyleInfo name="ERS Repor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Electric_Steam_Cooker_Single_Compartment" displayName="Electric_Steam_Cooker_Single_Compartment" ref="B69:C70" totalsRowShown="0" headerRowDxfId="85" dataDxfId="83" headerRowBorderDxfId="84" tableBorderDxfId="82" totalsRowBorderDxfId="81">
  <tableColumns count="2">
    <tableColumn id="1" xr3:uid="{00000000-0010-0000-0E00-000001000000}" name="Rebate Level" dataDxfId="80"/>
    <tableColumn id="2" xr3:uid="{00000000-0010-0000-0E00-000002000000}" name="Rebate Unit" dataDxfId="79"/>
  </tableColumns>
  <tableStyleInfo name="ERS Repor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Electric_Convection_Oven" displayName="Electric_Convection_Oven" ref="B77:C78" totalsRowShown="0" headerRowDxfId="78" dataDxfId="76" headerRowBorderDxfId="77" tableBorderDxfId="75" totalsRowBorderDxfId="74">
  <tableColumns count="2">
    <tableColumn id="1" xr3:uid="{00000000-0010-0000-0F00-000001000000}" name="Rebate Level" dataDxfId="73"/>
    <tableColumn id="2" xr3:uid="{00000000-0010-0000-0F00-000002000000}" name="Rebate Unit" dataDxfId="72"/>
  </tableColumns>
  <tableStyleInfo name="ERS Report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Electric_Fryer" displayName="Electric_Fryer" ref="B81:C82" totalsRowShown="0" headerRowDxfId="71" dataDxfId="69" headerRowBorderDxfId="70" tableBorderDxfId="68" totalsRowBorderDxfId="67">
  <tableColumns count="2">
    <tableColumn id="1" xr3:uid="{00000000-0010-0000-1000-000001000000}" name="Rebate Level" dataDxfId="66"/>
    <tableColumn id="2" xr3:uid="{00000000-0010-0000-1000-000002000000}" name="Rebate Unit" dataDxfId="65"/>
  </tableColumns>
  <tableStyleInfo name="ERS Repor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Electric_Griddle" displayName="Electric_Griddle" ref="B85:C86" totalsRowShown="0" headerRowDxfId="64" dataDxfId="62" headerRowBorderDxfId="63" tableBorderDxfId="61" totalsRowBorderDxfId="60">
  <tableColumns count="2">
    <tableColumn id="1" xr3:uid="{00000000-0010-0000-1100-000001000000}" name="Rebate Level" dataDxfId="59"/>
    <tableColumn id="2" xr3:uid="{00000000-0010-0000-1100-000002000000}" name="Rebate Unit" dataDxfId="58"/>
  </tableColumns>
  <tableStyleInfo name="ERS Repor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2000000}" name="Electronically_Commutated_EC_Motor_for_WalkIn_Cooler_or_Freezer" displayName="Electronically_Commutated_EC_Motor_for_WalkIn_Cooler_or_Freezer" ref="B89:C90" totalsRowShown="0" headerRowDxfId="57" dataDxfId="55" headerRowBorderDxfId="56" tableBorderDxfId="54" totalsRowBorderDxfId="53">
  <tableColumns count="2">
    <tableColumn id="1" xr3:uid="{00000000-0010-0000-1200-000001000000}" name="Rebate Level" dataDxfId="52"/>
    <tableColumn id="2" xr3:uid="{00000000-0010-0000-1200-000002000000}" name="Rebate Unit" dataDxfId="51"/>
  </tableColumns>
  <tableStyleInfo name="ERS Repor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1000000}" name="Table18" displayName="Table18" ref="B27:J33" totalsRowCount="1" headerRowDxfId="316" dataDxfId="315" totalsRowDxfId="313" tableBorderDxfId="314">
  <tableColumns count="9">
    <tableColumn id="1" xr3:uid="{00000000-0010-0000-0100-000001000000}" name="Item #" dataDxfId="312" totalsRowDxfId="311"/>
    <tableColumn id="2" xr3:uid="{00000000-0010-0000-0100-000002000000}" name="Make &amp; Model" dataDxfId="310" totalsRowDxfId="309"/>
    <tableColumn id="3" xr3:uid="{00000000-0010-0000-0100-000003000000}" name="# of Units" dataDxfId="308" totalsRowDxfId="307"/>
    <tableColumn id="4" xr3:uid="{00000000-0010-0000-0100-000004000000}" name="Unit Size (tons or Btuh)" dataDxfId="306" totalsRowDxfId="305"/>
    <tableColumn id="5" xr3:uid="{00000000-0010-0000-0100-000005000000}" name="Size Units (tons or Btuh)" dataDxfId="304" totalsRowDxfId="303"/>
    <tableColumn id="6" xr3:uid="{00000000-0010-0000-0100-000006000000}" name="EER" dataDxfId="302" totalsRowDxfId="301"/>
    <tableColumn id="7" xr3:uid="{00000000-0010-0000-0100-000007000000}" name="Required EER" dataDxfId="300" totalsRowDxfId="299">
      <calculatedColumnFormula>VLOOKUP(AD28,$AO$28:$AP$31,2,0)</calculatedColumnFormula>
    </tableColumn>
    <tableColumn id="8" xr3:uid="{00000000-0010-0000-0100-000008000000}" name="Rebate ($/ton)" dataDxfId="298" totalsRowDxfId="297">
      <calculatedColumnFormula>IF(AE28="No","Ineligible","$"&amp;AF28&amp;"/ton")</calculatedColumnFormula>
    </tableColumn>
    <tableColumn id="9" xr3:uid="{00000000-0010-0000-0100-000009000000}" name="Rebate" totalsRowFunction="sum" dataDxfId="296" totalsRowDxfId="295">
      <calculatedColumnFormula>Table18[[#This Row],['# of Units]]*AF28*AC28/12000</calculatedColumnFormula>
    </tableColumn>
  </tableColumns>
  <tableStyleInfo name="ERS Repor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3000000}" name="Demand_Control_Kitchen_Ventilation" displayName="Demand_Control_Kitchen_Ventilation" ref="B93:C94" totalsRowShown="0" headerRowDxfId="50" dataDxfId="48" headerRowBorderDxfId="49" tableBorderDxfId="47" totalsRowBorderDxfId="46">
  <tableColumns count="2">
    <tableColumn id="1" xr3:uid="{00000000-0010-0000-1300-000001000000}" name="Rebate Level" dataDxfId="45"/>
    <tableColumn id="2" xr3:uid="{00000000-0010-0000-1300-000002000000}" name="Rebate Unit" dataDxfId="44"/>
  </tableColumns>
  <tableStyleInfo name="ERS Repor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4000000}" name="Table19" displayName="Table19" ref="B13:H19" totalsRowCount="1" headerRowDxfId="43" dataDxfId="42" totalsRowDxfId="41">
  <tableColumns count="7">
    <tableColumn id="1" xr3:uid="{00000000-0010-0000-1400-000001000000}" name="Equipment Type" totalsRowLabel="Total" dataDxfId="40" totalsRowDxfId="39"/>
    <tableColumn id="2" xr3:uid="{00000000-0010-0000-1400-000002000000}" name="Quantity" totalsRowFunction="sum" dataDxfId="38" totalsRowDxfId="37"/>
    <tableColumn id="3" xr3:uid="{00000000-0010-0000-1400-000003000000}" name="Unit" dataDxfId="36" totalsRowDxfId="35">
      <calculatedColumnFormula>AC14</calculatedColumnFormula>
    </tableColumn>
    <tableColumn id="4" xr3:uid="{00000000-0010-0000-1400-000004000000}" name="Size" dataDxfId="34" totalsRowDxfId="33"/>
    <tableColumn id="5" xr3:uid="{00000000-0010-0000-1400-000005000000}" name="Size Unit" dataDxfId="32" totalsRowDxfId="31">
      <calculatedColumnFormula>VLOOKUP(B14,$AC$31:$AF$44,3,0)</calculatedColumnFormula>
    </tableColumn>
    <tableColumn id="6" xr3:uid="{00000000-0010-0000-1400-000006000000}" name="Rebate Level" dataDxfId="30" totalsRowDxfId="29">
      <calculatedColumnFormula>IF(ISNA(AE14),"Enter Size Unit","$"&amp;AE14&amp;" "&amp;AF14)</calculatedColumnFormula>
    </tableColumn>
    <tableColumn id="7" xr3:uid="{00000000-0010-0000-1400-000007000000}" name="Rebate" totalsRowFunction="sum" dataDxfId="28" totalsRowDxfId="27">
      <calculatedColumnFormula>IF(ISNA(AE14),0,C14*AE14)</calculatedColumnFormula>
    </tableColumn>
  </tableColumns>
  <tableStyleInfo name="ERS Report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F56E92-7777-4C04-9239-546753D79466}" name="Electric_Steam_Cooker_Two_Compartment" displayName="Electric_Steam_Cooker_Two_Compartment" ref="B73:C74" totalsRowShown="0" headerRowDxfId="26" dataDxfId="24" headerRowBorderDxfId="25" tableBorderDxfId="23" totalsRowBorderDxfId="22">
  <tableColumns count="2">
    <tableColumn id="1" xr3:uid="{4A9CACB8-5D4C-42AA-B509-21E8AAB2584B}" name="Rebate Level" dataDxfId="21"/>
    <tableColumn id="2" xr3:uid="{9E8F608B-0D10-41C2-9C1C-8897061F9FC0}" name="Rebate Unit" dataDxfId="20"/>
  </tableColumns>
  <tableStyleInfo name="ERS Report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22" displayName="Table22" ref="B11:E16" totalsRowCount="1" headerRowDxfId="15" dataDxfId="14" totalsRowDxfId="13">
  <tableColumns count="4">
    <tableColumn id="1" xr3:uid="{00000000-0010-0000-1500-000001000000}" name="Measure" totalsRowLabel="Total Rebate Amount" dataDxfId="12" totalsRowDxfId="11"/>
    <tableColumn id="2" xr3:uid="{00000000-0010-0000-1500-000002000000}" name="Rebate/Unit" dataDxfId="10" totalsRowDxfId="9"/>
    <tableColumn id="3" xr3:uid="{00000000-0010-0000-1500-000003000000}" name="Quantity" totalsRowFunction="sum" dataDxfId="8" totalsRowDxfId="7"/>
    <tableColumn id="4" xr3:uid="{00000000-0010-0000-1500-000004000000}" name="Rebate" totalsRowFunction="sum" dataDxfId="6" totalsRowDxfId="5">
      <calculatedColumnFormula>Table22[[#This Row],[Quantity]]*AA12</calculatedColumnFormula>
    </tableColumn>
  </tableColumns>
  <tableStyleInfo name="ERS Repor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le20" displayName="Table20" ref="B18:N24" totalsRowCount="1" headerRowDxfId="294" dataDxfId="293" totalsRowDxfId="291" tableBorderDxfId="292">
  <tableColumns count="13">
    <tableColumn id="1" xr3:uid="{00000000-0010-0000-0200-000001000000}" name="Item #" dataDxfId="290" totalsRowDxfId="289"/>
    <tableColumn id="2" xr3:uid="{00000000-0010-0000-0200-000002000000}" name="Make &amp; Model" dataDxfId="288" totalsRowDxfId="287"/>
    <tableColumn id="3" xr3:uid="{00000000-0010-0000-0200-000003000000}" name="# of Units" dataDxfId="286" totalsRowDxfId="285"/>
    <tableColumn id="4" xr3:uid="{00000000-0010-0000-0200-000004000000}" name="Unit Size (tons or Btuh)" dataDxfId="284" totalsRowDxfId="283"/>
    <tableColumn id="5" xr3:uid="{00000000-0010-0000-0200-000005000000}" name="Size Units (tons or Btuh)" dataDxfId="282" totalsRowDxfId="281"/>
    <tableColumn id="11" xr3:uid="{00000000-0010-0000-0200-00000B000000}" name="Heating Section Type" dataDxfId="280" totalsRowDxfId="279"/>
    <tableColumn id="10" xr3:uid="{00000000-0010-0000-0200-00000A000000}" name="System Type" dataDxfId="278" totalsRowDxfId="277"/>
    <tableColumn id="6" xr3:uid="{00000000-0010-0000-0200-000006000000}" name="EER" dataDxfId="276" totalsRowDxfId="275"/>
    <tableColumn id="7" xr3:uid="{00000000-0010-0000-0200-000007000000}" name="SEER or IEER" dataDxfId="274" totalsRowDxfId="273"/>
    <tableColumn id="8" xr3:uid="{00000000-0010-0000-0200-000008000000}" name="Accelerated Retirement ($/ton)" dataDxfId="272" totalsRowDxfId="271">
      <calculatedColumnFormula>IF(AK19="NA","Ineligible","$"&amp;AM19&amp;"/ton")</calculatedColumnFormula>
    </tableColumn>
    <tableColumn id="13" xr3:uid="{6C7CC1F0-A10A-4681-A7D4-A524A6E34672}" name="Natural Replacement ($/ton)" dataDxfId="270" totalsRowDxfId="269">
      <calculatedColumnFormula>IF(AK19="NA","Ineligible","$"&amp;AL19&amp;"/ton")</calculatedColumnFormula>
    </tableColumn>
    <tableColumn id="12" xr3:uid="{81243BD0-3578-4119-BB28-4B11B9796A66}" name="Accelerated Retirement Rebate " totalsRowFunction="sum" dataDxfId="268" totalsRowDxfId="267">
      <calculatedColumnFormula>IF(ISNA(AL19),0,AM19*D19*AC19)/12000</calculatedColumnFormula>
    </tableColumn>
    <tableColumn id="9" xr3:uid="{00000000-0010-0000-0200-000009000000}" name="Natural Replacement Rebate" totalsRowFunction="sum" dataDxfId="266" totalsRowDxfId="265">
      <calculatedColumnFormula>IF(ISNA(AL19),0,AL19*D19*AC19)/12000</calculatedColumnFormula>
    </tableColumn>
  </tableColumns>
  <tableStyleInfo name="ERS Repor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" displayName="Table2" ref="B17:N23" totalsRowCount="1" headerRowDxfId="254" dataDxfId="253" totalsRowDxfId="252">
  <tableColumns count="13">
    <tableColumn id="1" xr3:uid="{00000000-0010-0000-0300-000001000000}" name="Item #" dataDxfId="251" totalsRowDxfId="250"/>
    <tableColumn id="2" xr3:uid="{00000000-0010-0000-0300-000002000000}" name="Make &amp; Model" dataDxfId="249" totalsRowDxfId="248"/>
    <tableColumn id="3" xr3:uid="{00000000-0010-0000-0300-000003000000}" name="# of Units" totalsRowFunction="sum" dataDxfId="247" totalsRowDxfId="246"/>
    <tableColumn id="4" xr3:uid="{00000000-0010-0000-0300-000004000000}" name="Unit Size (tons or Btuh)" dataDxfId="245" totalsRowDxfId="244"/>
    <tableColumn id="5" xr3:uid="{00000000-0010-0000-0300-000005000000}" name="Size Units (tons or Btuh)" dataDxfId="243" totalsRowDxfId="242"/>
    <tableColumn id="6" xr3:uid="{00000000-0010-0000-0300-000006000000}" name="System Type" dataDxfId="241" totalsRowDxfId="240"/>
    <tableColumn id="7" xr3:uid="{00000000-0010-0000-0300-000007000000}" name="SEER" dataDxfId="239" totalsRowDxfId="238"/>
    <tableColumn id="8" xr3:uid="{00000000-0010-0000-0300-000008000000}" name="EER" dataDxfId="237" totalsRowDxfId="236"/>
    <tableColumn id="9" xr3:uid="{00000000-0010-0000-0300-000009000000}" name="HSPF" dataDxfId="235" totalsRowDxfId="234"/>
    <tableColumn id="10" xr3:uid="{00000000-0010-0000-0300-00000A000000}" name="Accelerated Retirement  ($/ton)" dataDxfId="233" totalsRowDxfId="232">
      <calculatedColumnFormula>IF(AC18*12000&gt;=65000,"Enter Valid Unit Size",IF(AG18="Ineligible","Ineligible","$"&amp;AL18&amp;"/ton"))</calculatedColumnFormula>
    </tableColumn>
    <tableColumn id="13" xr3:uid="{C1D8DDEB-D347-4B17-B1B6-40CEB9A23ECB}" name="Natural Replacement  ($/ton)" dataDxfId="231" totalsRowDxfId="230">
      <calculatedColumnFormula>IF(AC18*12000&gt;=65000,"Enter Valid Unit Size",IF(AG18="Ineligible","Ineligible","$"&amp;AM18&amp;"/ton"))</calculatedColumnFormula>
    </tableColumn>
    <tableColumn id="12" xr3:uid="{38912E7B-BAF8-41AE-BCD8-D09B3A50A507}" name="Accelerated Retirement Rebate" totalsRowFunction="sum" totalsRowDxfId="229">
      <calculatedColumnFormula>IF(ISNA(AL18),0,AL18*D18*AC18)</calculatedColumnFormula>
    </tableColumn>
    <tableColumn id="11" xr3:uid="{00000000-0010-0000-0300-00000B000000}" name="Natural Replacement Rebate" totalsRowFunction="sum" dataDxfId="228" totalsRowDxfId="227">
      <calculatedColumnFormula>IF(ISNA(AM18),0,AM18*D18*AC18)</calculatedColumnFormula>
    </tableColumn>
  </tableColumns>
  <tableStyleInfo name="ERS Repor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4000000}" name="Table16" displayName="Table16" ref="B26:M32" totalsRowCount="1" headerRowDxfId="226" dataDxfId="225" totalsRowDxfId="223" tableBorderDxfId="224">
  <tableColumns count="12">
    <tableColumn id="1" xr3:uid="{00000000-0010-0000-0400-000001000000}" name="Item #" dataDxfId="222" totalsRowDxfId="221"/>
    <tableColumn id="2" xr3:uid="{00000000-0010-0000-0400-000002000000}" name="Make &amp; Model" dataDxfId="220" totalsRowDxfId="219"/>
    <tableColumn id="3" xr3:uid="{00000000-0010-0000-0400-000003000000}" name="# of Units" totalsRowFunction="sum" dataDxfId="218" totalsRowDxfId="217"/>
    <tableColumn id="4" xr3:uid="{00000000-0010-0000-0400-000004000000}" name="Unit Size (tons or Btuh)" dataDxfId="216" totalsRowDxfId="215">
      <calculatedColumnFormula>7.5*12000</calculatedColumnFormula>
    </tableColumn>
    <tableColumn id="5" xr3:uid="{00000000-0010-0000-0400-000005000000}" name="Size Units (tons or Btuh)" dataDxfId="214" totalsRowDxfId="213"/>
    <tableColumn id="7" xr3:uid="{00000000-0010-0000-0400-000007000000}" name="EER" dataDxfId="212" totalsRowDxfId="211"/>
    <tableColumn id="8" xr3:uid="{00000000-0010-0000-0400-000008000000}" name="IEER" dataDxfId="210" totalsRowDxfId="209"/>
    <tableColumn id="9" xr3:uid="{00000000-0010-0000-0400-000009000000}" name="COP" dataDxfId="208" totalsRowDxfId="207"/>
    <tableColumn id="10" xr3:uid="{00000000-0010-0000-0400-00000A000000}" name="Accelerated Retirement Rebate ($/ton)" dataDxfId="206" totalsRowDxfId="205">
      <calculatedColumnFormula>IF(AH27="NA","Enter Valid Unit Size",IF(AH27="No","Ineligible","$"&amp;AJ27&amp;"/ton"))</calculatedColumnFormula>
    </tableColumn>
    <tableColumn id="11" xr3:uid="{00000000-0010-0000-0400-00000B000000}" name="Natural Replacement Rebate ($/ton)" dataDxfId="204" totalsRowDxfId="203">
      <calculatedColumnFormula>IF(AH27="NA","Enter Valid Unit Size",IF(AH27="No","Ineligible","$"&amp;AI27&amp;"/ton"))</calculatedColumnFormula>
    </tableColumn>
    <tableColumn id="6" xr3:uid="{22C9FAE4-02FC-4CBD-80D7-A36805FF888F}" name="Accelerated Retirement Rebate" totalsRowFunction="sum" totalsRowDxfId="202">
      <calculatedColumnFormula>AJ27*Table16[[#This Row],['# of Units]]*AC27/12000</calculatedColumnFormula>
    </tableColumn>
    <tableColumn id="12" xr3:uid="{C847DFF3-358F-40BA-8F28-880D36644E6D}" name="Natural Replacement Rebate" totalsRowFunction="sum" dataDxfId="201" totalsRowDxfId="200">
      <calculatedColumnFormula>AI27*Table16[[#This Row],['# of Units]]*AC27/12000</calculatedColumnFormula>
    </tableColumn>
  </tableColumns>
  <tableStyleInfo name="ERS Repor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5000000}" name="Table17" displayName="Table17" ref="B35:I41" totalsRowCount="1" headerRowDxfId="199" dataDxfId="198" totalsRowDxfId="197">
  <tableColumns count="8">
    <tableColumn id="1" xr3:uid="{00000000-0010-0000-0500-000001000000}" name="Item #" dataDxfId="196"/>
    <tableColumn id="2" xr3:uid="{00000000-0010-0000-0500-000002000000}" name="Make &amp; Model" dataDxfId="195"/>
    <tableColumn id="3" xr3:uid="{00000000-0010-0000-0500-000003000000}" name="# of Units" totalsRowFunction="sum" dataDxfId="194"/>
    <tableColumn id="4" xr3:uid="{00000000-0010-0000-0500-000004000000}" name="Unit Size (tons or Btuh)" dataDxfId="193"/>
    <tableColumn id="5" xr3:uid="{00000000-0010-0000-0500-000005000000}" name="Size Units (tons or Btuh)" dataDxfId="192"/>
    <tableColumn id="6" xr3:uid="{00000000-0010-0000-0500-000006000000}" name="EER" dataDxfId="191"/>
    <tableColumn id="7" xr3:uid="{00000000-0010-0000-0500-000007000000}" name="Rebate ($/ton)" dataDxfId="190">
      <calculatedColumnFormula>IF(AE36="No","Ineligible","$"&amp;AF36&amp;"/ton")</calculatedColumnFormula>
    </tableColumn>
    <tableColumn id="8" xr3:uid="{00000000-0010-0000-0500-000008000000}" name="Rebate" totalsRowFunction="sum" dataDxfId="189">
      <calculatedColumnFormula>AF36*Table17[[#This Row],['# of Units]]*AC36/12000</calculatedColumnFormula>
    </tableColumn>
  </tableColumns>
  <tableStyleInfo name="ERS Repor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6000000}" name="Table1" displayName="Table1" ref="B14:F20" totalsRowCount="1" headerRowDxfId="186" dataDxfId="185" totalsRowDxfId="184">
  <tableColumns count="5">
    <tableColumn id="1" xr3:uid="{00000000-0010-0000-0600-000001000000}" name="HVAC Unit #/Description" totalsRowLabel="Total" dataDxfId="183" totalsRowDxfId="4"/>
    <tableColumn id="2" xr3:uid="{00000000-0010-0000-0600-000002000000}" name="Unit Capacity (tons)" totalsRowFunction="sum" dataDxfId="182" totalsRowDxfId="3"/>
    <tableColumn id="6" xr3:uid="{00000000-0010-0000-0600-000006000000}" name="Quantity" totalsRowFunction="sum" dataDxfId="181" totalsRowDxfId="2"/>
    <tableColumn id="7" xr3:uid="{00000000-0010-0000-0600-000007000000}" name="Rebate per Unit" dataDxfId="180" totalsRowDxfId="1">
      <calculatedColumnFormula>IF(Table1[[#This Row],[Unit Capacity (tons)]]&lt;5, "Does Not Qualify", IF(AND(Table1[[#This Row],[Unit Capacity (tons)]]&gt;=5,Table1[[#This Row],[Unit Capacity (tons)]]&lt;10),1600, IF(AND(Table1[[#This Row],[Unit Capacity (tons)]]&gt;=10,Table1[[#This Row],[Unit Capacity (tons)]]&lt;15),2500, IF(Table1[[#This Row],[Unit Capacity (tons)]]&gt;=15, 3000))))</calculatedColumnFormula>
    </tableColumn>
    <tableColumn id="4" xr3:uid="{00000000-0010-0000-0600-000004000000}" name="Rebate" totalsRowFunction="sum" dataDxfId="179" totalsRowDxfId="0">
      <calculatedColumnFormula>IF(Table1[[#This Row],[Rebate per Unit]] = "Does Not Qualify", "Does Not Qualify", Table1[[#This Row],[Rebate per Unit]]*Table1[[#This Row],[Quantity]])</calculatedColumnFormula>
    </tableColumn>
  </tableColumns>
  <tableStyleInfo name="ERS Repor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Commercial_Ice_Machine" displayName="Commercial_Ice_Machine" ref="B24:E30" totalsRowShown="0" headerRowDxfId="144" headerRowBorderDxfId="143" tableBorderDxfId="142">
  <tableColumns count="4">
    <tableColumn id="1" xr3:uid="{00000000-0010-0000-0700-000001000000}" name="Size" dataDxfId="141"/>
    <tableColumn id="2" xr3:uid="{00000000-0010-0000-0700-000002000000}" name="Size Unit" dataDxfId="140"/>
    <tableColumn id="3" xr3:uid="{00000000-0010-0000-0700-000003000000}" name="Rebate Level" dataDxfId="139"/>
    <tableColumn id="4" xr3:uid="{00000000-0010-0000-0700-000004000000}" name="Rebate Unit" dataDxfId="138"/>
  </tableColumns>
  <tableStyleInfo name="ERS Repor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Glass_Door_Beverage_Cooler_Controller" displayName="Glass_Door_Beverage_Cooler_Controller" ref="B33:C34" totalsRowShown="0" headerRowDxfId="137" dataDxfId="135" headerRowBorderDxfId="136" tableBorderDxfId="134" totalsRowBorderDxfId="133">
  <tableColumns count="2">
    <tableColumn id="1" xr3:uid="{00000000-0010-0000-0800-000001000000}" name="Rebate Level" dataDxfId="132"/>
    <tableColumn id="2" xr3:uid="{00000000-0010-0000-0800-000002000000}" name="Rebate Unit" dataDxfId="131"/>
  </tableColumns>
  <tableStyleInfo name="ERS Repor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9CCFF"/>
      </a:accent1>
      <a:accent2>
        <a:srgbClr val="CCFFCC"/>
      </a:accent2>
      <a:accent3>
        <a:srgbClr val="FFFFF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7F"/>
      </a:hlink>
      <a:folHlink>
        <a:srgbClr val="00007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.xml"/><Relationship Id="rId13" Type="http://schemas.openxmlformats.org/officeDocument/2006/relationships/table" Target="../tables/table18.xml"/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12" Type="http://schemas.openxmlformats.org/officeDocument/2006/relationships/table" Target="../tables/table17.xml"/><Relationship Id="rId17" Type="http://schemas.openxmlformats.org/officeDocument/2006/relationships/table" Target="../tables/table22.xml"/><Relationship Id="rId2" Type="http://schemas.openxmlformats.org/officeDocument/2006/relationships/image" Target="../media/image1.jpeg"/><Relationship Id="rId16" Type="http://schemas.openxmlformats.org/officeDocument/2006/relationships/table" Target="../tables/table2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11.xml"/><Relationship Id="rId11" Type="http://schemas.openxmlformats.org/officeDocument/2006/relationships/table" Target="../tables/table16.xml"/><Relationship Id="rId5" Type="http://schemas.openxmlformats.org/officeDocument/2006/relationships/table" Target="../tables/table10.xml"/><Relationship Id="rId15" Type="http://schemas.openxmlformats.org/officeDocument/2006/relationships/table" Target="../tables/table20.xml"/><Relationship Id="rId10" Type="http://schemas.openxmlformats.org/officeDocument/2006/relationships/table" Target="../tables/table15.xml"/><Relationship Id="rId4" Type="http://schemas.openxmlformats.org/officeDocument/2006/relationships/table" Target="../tables/table9.xml"/><Relationship Id="rId9" Type="http://schemas.openxmlformats.org/officeDocument/2006/relationships/table" Target="../tables/table14.xml"/><Relationship Id="rId1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G26"/>
  <sheetViews>
    <sheetView showRowColHeaders="0" topLeftCell="A7" workbookViewId="0">
      <selection activeCell="D3" sqref="D3:F3"/>
    </sheetView>
  </sheetViews>
  <sheetFormatPr defaultColWidth="9.140625" defaultRowHeight="14.25" x14ac:dyDescent="0.2"/>
  <cols>
    <col min="1" max="1" width="19.28515625" style="8" customWidth="1"/>
    <col min="2" max="2" width="4.140625" style="8" customWidth="1"/>
    <col min="3" max="3" width="4.28515625" style="8" customWidth="1"/>
    <col min="4" max="4" width="2.7109375" style="8" customWidth="1"/>
    <col min="5" max="5" width="28.42578125" style="8" customWidth="1"/>
    <col min="6" max="6" width="54" style="8" customWidth="1"/>
    <col min="7" max="16384" width="9.140625" style="8"/>
  </cols>
  <sheetData>
    <row r="1" spans="2:7" ht="27" thickBot="1" x14ac:dyDescent="0.45">
      <c r="B1" s="78"/>
      <c r="C1" s="79"/>
      <c r="D1" s="79"/>
      <c r="E1" s="80" t="s">
        <v>291</v>
      </c>
      <c r="F1" s="79"/>
      <c r="G1" s="81"/>
    </row>
    <row r="2" spans="2:7" x14ac:dyDescent="0.2">
      <c r="B2" s="82"/>
      <c r="C2" s="83"/>
      <c r="D2" s="83"/>
      <c r="E2" s="83"/>
      <c r="F2" s="83"/>
      <c r="G2" s="84"/>
    </row>
    <row r="3" spans="2:7" ht="49.5" customHeight="1" x14ac:dyDescent="0.2">
      <c r="B3" s="85"/>
      <c r="C3" s="86">
        <v>1</v>
      </c>
      <c r="D3" s="259" t="s">
        <v>238</v>
      </c>
      <c r="E3" s="259"/>
      <c r="F3" s="259"/>
      <c r="G3" s="87"/>
    </row>
    <row r="4" spans="2:7" ht="36" customHeight="1" x14ac:dyDescent="0.2">
      <c r="B4" s="85"/>
      <c r="C4" s="88">
        <v>2</v>
      </c>
      <c r="D4" s="259" t="s">
        <v>244</v>
      </c>
      <c r="E4" s="259"/>
      <c r="F4" s="259"/>
      <c r="G4" s="87"/>
    </row>
    <row r="5" spans="2:7" x14ac:dyDescent="0.2">
      <c r="B5" s="85"/>
      <c r="C5" s="86">
        <v>3</v>
      </c>
      <c r="D5" s="86" t="s">
        <v>245</v>
      </c>
      <c r="E5" s="89"/>
      <c r="F5" s="89"/>
      <c r="G5" s="87"/>
    </row>
    <row r="6" spans="2:7" x14ac:dyDescent="0.2">
      <c r="B6" s="85"/>
      <c r="C6" s="89"/>
      <c r="D6" s="90" t="s">
        <v>236</v>
      </c>
      <c r="E6" s="89" t="s">
        <v>233</v>
      </c>
      <c r="F6" s="89"/>
      <c r="G6" s="87"/>
    </row>
    <row r="7" spans="2:7" x14ac:dyDescent="0.2">
      <c r="B7" s="85"/>
      <c r="C7" s="89"/>
      <c r="D7" s="90" t="s">
        <v>236</v>
      </c>
      <c r="E7" s="89" t="s">
        <v>302</v>
      </c>
      <c r="F7" s="89"/>
      <c r="G7" s="87"/>
    </row>
    <row r="8" spans="2:7" x14ac:dyDescent="0.2">
      <c r="B8" s="85"/>
      <c r="C8" s="89"/>
      <c r="D8" s="90" t="s">
        <v>236</v>
      </c>
      <c r="E8" s="89" t="s">
        <v>234</v>
      </c>
      <c r="F8" s="89"/>
      <c r="G8" s="87"/>
    </row>
    <row r="9" spans="2:7" x14ac:dyDescent="0.2">
      <c r="B9" s="85"/>
      <c r="C9" s="89"/>
      <c r="D9" s="90" t="s">
        <v>236</v>
      </c>
      <c r="E9" s="89" t="s">
        <v>303</v>
      </c>
      <c r="F9" s="89"/>
      <c r="G9" s="87"/>
    </row>
    <row r="10" spans="2:7" x14ac:dyDescent="0.2">
      <c r="B10" s="85"/>
      <c r="C10" s="89"/>
      <c r="D10" s="90" t="s">
        <v>236</v>
      </c>
      <c r="E10" s="89" t="s">
        <v>247</v>
      </c>
      <c r="F10" s="89"/>
      <c r="G10" s="87"/>
    </row>
    <row r="11" spans="2:7" x14ac:dyDescent="0.2">
      <c r="B11" s="85"/>
      <c r="C11" s="89"/>
      <c r="D11" s="90" t="s">
        <v>236</v>
      </c>
      <c r="E11" s="89" t="s">
        <v>235</v>
      </c>
      <c r="F11" s="89"/>
      <c r="G11" s="87"/>
    </row>
    <row r="12" spans="2:7" x14ac:dyDescent="0.2">
      <c r="B12" s="85"/>
      <c r="C12" s="89"/>
      <c r="D12" s="90" t="s">
        <v>236</v>
      </c>
      <c r="E12" s="89" t="s">
        <v>246</v>
      </c>
      <c r="F12" s="89"/>
      <c r="G12" s="87"/>
    </row>
    <row r="13" spans="2:7" x14ac:dyDescent="0.2">
      <c r="B13" s="85"/>
      <c r="C13" s="89"/>
      <c r="D13" s="89"/>
      <c r="E13" s="89"/>
      <c r="F13" s="89"/>
      <c r="G13" s="87"/>
    </row>
    <row r="14" spans="2:7" x14ac:dyDescent="0.2">
      <c r="B14" s="85"/>
      <c r="C14" s="89">
        <v>4</v>
      </c>
      <c r="D14" s="89" t="s">
        <v>237</v>
      </c>
      <c r="E14" s="89"/>
      <c r="F14" s="89"/>
      <c r="G14" s="87"/>
    </row>
    <row r="15" spans="2:7" ht="15" x14ac:dyDescent="0.25">
      <c r="B15" s="85"/>
      <c r="C15" s="89"/>
      <c r="D15" s="89"/>
      <c r="E15" s="91" t="s">
        <v>226</v>
      </c>
      <c r="F15" s="91" t="s">
        <v>227</v>
      </c>
      <c r="G15" s="87"/>
    </row>
    <row r="16" spans="2:7" ht="28.5" x14ac:dyDescent="0.2">
      <c r="B16" s="85"/>
      <c r="C16" s="89"/>
      <c r="D16" s="89"/>
      <c r="E16" s="92" t="s">
        <v>228</v>
      </c>
      <c r="F16" s="93" t="s">
        <v>241</v>
      </c>
      <c r="G16" s="87"/>
    </row>
    <row r="17" spans="2:7" ht="28.5" x14ac:dyDescent="0.2">
      <c r="B17" s="85"/>
      <c r="C17" s="89"/>
      <c r="D17" s="89"/>
      <c r="E17" s="94" t="s">
        <v>229</v>
      </c>
      <c r="F17" s="95" t="s">
        <v>242</v>
      </c>
      <c r="G17" s="87"/>
    </row>
    <row r="18" spans="2:7" ht="28.5" x14ac:dyDescent="0.2">
      <c r="B18" s="85"/>
      <c r="C18" s="89"/>
      <c r="D18" s="89"/>
      <c r="E18" s="92" t="s">
        <v>230</v>
      </c>
      <c r="F18" s="93" t="s">
        <v>239</v>
      </c>
      <c r="G18" s="87"/>
    </row>
    <row r="19" spans="2:7" ht="24" customHeight="1" x14ac:dyDescent="0.2">
      <c r="B19" s="85"/>
      <c r="C19" s="89"/>
      <c r="D19" s="89"/>
      <c r="E19" s="94" t="s">
        <v>231</v>
      </c>
      <c r="F19" s="95" t="s">
        <v>240</v>
      </c>
      <c r="G19" s="87"/>
    </row>
    <row r="20" spans="2:7" ht="28.5" x14ac:dyDescent="0.2">
      <c r="B20" s="85"/>
      <c r="C20" s="89"/>
      <c r="D20" s="89"/>
      <c r="E20" s="92" t="s">
        <v>232</v>
      </c>
      <c r="F20" s="93" t="s">
        <v>243</v>
      </c>
      <c r="G20" s="87"/>
    </row>
    <row r="21" spans="2:7" x14ac:dyDescent="0.2">
      <c r="B21" s="85"/>
      <c r="C21" s="89"/>
      <c r="D21" s="89"/>
      <c r="E21" s="89"/>
      <c r="F21" s="96"/>
      <c r="G21" s="87"/>
    </row>
    <row r="22" spans="2:7" x14ac:dyDescent="0.2">
      <c r="B22" s="85"/>
      <c r="C22" s="89"/>
      <c r="D22" s="89"/>
      <c r="E22" s="89"/>
      <c r="F22" s="89"/>
      <c r="G22" s="87"/>
    </row>
    <row r="23" spans="2:7" x14ac:dyDescent="0.2">
      <c r="B23" s="85"/>
      <c r="C23" s="89"/>
      <c r="D23" s="89"/>
      <c r="E23" s="89"/>
      <c r="F23" s="89"/>
      <c r="G23" s="87"/>
    </row>
    <row r="24" spans="2:7" x14ac:dyDescent="0.2">
      <c r="B24" s="85"/>
      <c r="C24" s="89"/>
      <c r="D24" s="89"/>
      <c r="E24" s="89"/>
      <c r="F24" s="89"/>
      <c r="G24" s="87"/>
    </row>
    <row r="25" spans="2:7" x14ac:dyDescent="0.2">
      <c r="B25" s="85"/>
      <c r="C25" s="89"/>
      <c r="D25" s="89"/>
      <c r="E25" s="89"/>
      <c r="F25" s="89"/>
      <c r="G25" s="87"/>
    </row>
    <row r="26" spans="2:7" ht="15" thickBot="1" x14ac:dyDescent="0.25">
      <c r="B26" s="97"/>
      <c r="C26" s="98"/>
      <c r="D26" s="98"/>
      <c r="E26" s="98"/>
      <c r="F26" s="98"/>
      <c r="G26" s="99"/>
    </row>
  </sheetData>
  <sheetProtection algorithmName="SHA-512" hashValue="gED1IQEt6aH3cWvjGyzXjgrOacOw0RMcHWb1Fhr1iJ4kkfy4YqJIOZpmyA5emHs7+Z97yn1ubBLJpL+Q5yhBDg==" saltValue="xsNg3x9abZ6K8n9KjqO8vg==" spinCount="100000" sheet="1" selectLockedCells="1" selectUnlockedCells="1"/>
  <mergeCells count="2">
    <mergeCell ref="D3:F3"/>
    <mergeCell ref="D4:F4"/>
  </mergeCells>
  <pageMargins left="0.7" right="0.7" top="0.75" bottom="0.75" header="0.3" footer="0.3"/>
  <pageSetup orientation="portrait" verticalDpi="0" r:id="rId1"/>
  <picture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CY61"/>
  <sheetViews>
    <sheetView showGridLines="0" showRowColHeaders="0" zoomScaleNormal="100" workbookViewId="0">
      <selection activeCell="D3" sqref="D3:F3"/>
    </sheetView>
  </sheetViews>
  <sheetFormatPr defaultColWidth="129.85546875" defaultRowHeight="12.75" x14ac:dyDescent="0.2"/>
  <cols>
    <col min="1" max="1" width="1.42578125" style="101" customWidth="1"/>
    <col min="2" max="2" width="6.7109375" style="27" customWidth="1"/>
    <col min="3" max="3" width="34.140625" style="38" customWidth="1"/>
    <col min="4" max="4" width="10.5703125" style="38" bestFit="1" customWidth="1"/>
    <col min="5" max="6" width="15.140625" style="38" bestFit="1" customWidth="1"/>
    <col min="7" max="7" width="20.5703125" style="38" customWidth="1"/>
    <col min="8" max="8" width="15.7109375" style="38" customWidth="1"/>
    <col min="9" max="10" width="21.7109375" style="38" customWidth="1"/>
    <col min="11" max="14" width="21.7109375" style="101" customWidth="1"/>
    <col min="15" max="26" width="10.42578125" style="101" customWidth="1"/>
    <col min="27" max="28" width="10.42578125" style="101" hidden="1" customWidth="1"/>
    <col min="29" max="29" width="32.5703125" style="27" hidden="1" customWidth="1"/>
    <col min="30" max="30" width="19.42578125" style="38" hidden="1" customWidth="1"/>
    <col min="31" max="31" width="25.85546875" style="38" hidden="1" customWidth="1"/>
    <col min="32" max="32" width="22.85546875" style="38" hidden="1" customWidth="1"/>
    <col min="33" max="33" width="13.28515625" style="38" hidden="1" customWidth="1"/>
    <col min="34" max="34" width="38.42578125" style="38" hidden="1" customWidth="1"/>
    <col min="35" max="35" width="36.42578125" style="38" hidden="1" customWidth="1"/>
    <col min="36" max="36" width="31" style="101" hidden="1" customWidth="1"/>
    <col min="37" max="37" width="24.28515625" style="101" hidden="1" customWidth="1"/>
    <col min="38" max="38" width="16.5703125" style="101" hidden="1" customWidth="1"/>
    <col min="39" max="39" width="20.7109375" style="101" hidden="1" customWidth="1"/>
    <col min="40" max="40" width="6.28515625" style="101" hidden="1" customWidth="1"/>
    <col min="41" max="41" width="50" style="101" hidden="1" customWidth="1"/>
    <col min="42" max="42" width="23.28515625" style="101" hidden="1" customWidth="1"/>
    <col min="43" max="43" width="2.140625" style="101" hidden="1" customWidth="1"/>
    <col min="44" max="44" width="20" style="101" hidden="1" customWidth="1"/>
    <col min="45" max="45" width="5.140625" style="101" hidden="1" customWidth="1"/>
    <col min="46" max="48" width="4.5703125" style="101" hidden="1" customWidth="1"/>
    <col min="49" max="49" width="2.140625" style="101" hidden="1" customWidth="1"/>
    <col min="50" max="50" width="22.42578125" style="101" hidden="1" customWidth="1"/>
    <col min="51" max="51" width="5.140625" style="101" hidden="1" customWidth="1"/>
    <col min="52" max="54" width="4.5703125" style="101" hidden="1" customWidth="1"/>
    <col min="55" max="55" width="2.140625" style="101" hidden="1" customWidth="1"/>
    <col min="56" max="56" width="31" style="101" hidden="1" customWidth="1"/>
    <col min="57" max="57" width="4.7109375" style="101" hidden="1" customWidth="1"/>
    <col min="58" max="60" width="4.5703125" style="101" hidden="1" customWidth="1"/>
    <col min="61" max="61" width="2.140625" style="101" hidden="1" customWidth="1"/>
    <col min="62" max="62" width="16.28515625" style="101" hidden="1" customWidth="1"/>
    <col min="63" max="63" width="4.7109375" style="101" hidden="1" customWidth="1"/>
    <col min="64" max="66" width="4.5703125" style="101" hidden="1" customWidth="1"/>
    <col min="67" max="67" width="2.140625" style="101" hidden="1" customWidth="1"/>
    <col min="68" max="68" width="32.28515625" style="101" hidden="1" customWidth="1"/>
    <col min="69" max="69" width="4.7109375" style="101" hidden="1" customWidth="1"/>
    <col min="70" max="72" width="4.5703125" style="101" hidden="1" customWidth="1"/>
    <col min="73" max="73" width="2.140625" style="101" hidden="1" customWidth="1"/>
    <col min="74" max="74" width="17.7109375" style="101" hidden="1" customWidth="1"/>
    <col min="75" max="75" width="4.7109375" style="101" hidden="1" customWidth="1"/>
    <col min="76" max="78" width="4.5703125" style="101" hidden="1" customWidth="1"/>
    <col min="79" max="79" width="2.140625" style="101" hidden="1" customWidth="1"/>
    <col min="80" max="80" width="31.42578125" style="101" hidden="1" customWidth="1"/>
    <col min="81" max="81" width="4.7109375" style="101" hidden="1" customWidth="1"/>
    <col min="82" max="84" width="4.5703125" style="101" hidden="1" customWidth="1"/>
    <col min="85" max="85" width="2.140625" style="101" hidden="1" customWidth="1"/>
    <col min="86" max="86" width="16.7109375" style="101" hidden="1" customWidth="1"/>
    <col min="87" max="87" width="4.7109375" style="101" hidden="1" customWidth="1"/>
    <col min="88" max="90" width="4.5703125" style="101" hidden="1" customWidth="1"/>
    <col min="91" max="91" width="2.140625" style="101" hidden="1" customWidth="1"/>
    <col min="92" max="92" width="31" style="101" hidden="1" customWidth="1"/>
    <col min="93" max="93" width="4.7109375" style="101" hidden="1" customWidth="1"/>
    <col min="94" max="96" width="4.5703125" style="101" hidden="1" customWidth="1"/>
    <col min="97" max="97" width="2.140625" style="101" hidden="1" customWidth="1"/>
    <col min="98" max="98" width="16.28515625" style="101" hidden="1" customWidth="1"/>
    <col min="99" max="99" width="4.7109375" style="101" hidden="1" customWidth="1"/>
    <col min="100" max="102" width="4.5703125" style="101" hidden="1" customWidth="1"/>
    <col min="103" max="103" width="16.7109375" style="101" hidden="1" customWidth="1"/>
    <col min="104" max="268" width="16.7109375" style="101" customWidth="1"/>
    <col min="269" max="16384" width="129.85546875" style="101"/>
  </cols>
  <sheetData>
    <row r="1" spans="1:44" ht="27" thickBot="1" x14ac:dyDescent="0.45">
      <c r="A1" s="173"/>
      <c r="B1" s="174" t="s">
        <v>216</v>
      </c>
      <c r="C1" s="175"/>
      <c r="D1" s="175"/>
      <c r="E1" s="175"/>
      <c r="F1" s="175"/>
      <c r="G1" s="175"/>
      <c r="H1" s="175"/>
      <c r="I1" s="175"/>
      <c r="J1" s="175"/>
      <c r="K1" s="176"/>
      <c r="L1" s="176"/>
      <c r="M1" s="176"/>
      <c r="N1" s="176"/>
      <c r="O1" s="177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</row>
    <row r="2" spans="1:44" x14ac:dyDescent="0.2">
      <c r="A2" s="178"/>
      <c r="B2" s="179"/>
      <c r="C2" s="180"/>
      <c r="D2" s="180"/>
      <c r="E2" s="180"/>
      <c r="F2" s="180"/>
      <c r="G2" s="180"/>
      <c r="H2" s="180"/>
      <c r="I2" s="180"/>
      <c r="J2" s="180"/>
      <c r="K2" s="181"/>
      <c r="L2" s="181"/>
      <c r="M2" s="181"/>
      <c r="N2" s="181"/>
      <c r="O2" s="182"/>
      <c r="AO2" s="101" t="s">
        <v>191</v>
      </c>
    </row>
    <row r="3" spans="1:44" ht="15.75" x14ac:dyDescent="0.25">
      <c r="A3" s="178"/>
      <c r="B3" s="20" t="s">
        <v>45</v>
      </c>
      <c r="C3" s="180"/>
      <c r="D3" s="180"/>
      <c r="E3" s="180"/>
      <c r="F3" s="180"/>
      <c r="G3" s="180"/>
      <c r="H3" s="180"/>
      <c r="I3" s="180"/>
      <c r="J3" s="180"/>
      <c r="K3" s="181"/>
      <c r="L3" s="181"/>
      <c r="M3" s="181"/>
      <c r="N3" s="181"/>
      <c r="O3" s="182"/>
    </row>
    <row r="4" spans="1:44" ht="14.25" x14ac:dyDescent="0.2">
      <c r="A4" s="178"/>
      <c r="B4" s="113" t="s">
        <v>209</v>
      </c>
      <c r="C4" s="180"/>
      <c r="D4" s="180"/>
      <c r="E4" s="180"/>
      <c r="F4" s="180"/>
      <c r="G4" s="180"/>
      <c r="H4" s="180"/>
      <c r="I4" s="180"/>
      <c r="J4" s="180"/>
      <c r="K4" s="181"/>
      <c r="L4" s="181"/>
      <c r="M4" s="181"/>
      <c r="N4" s="181"/>
      <c r="O4" s="182"/>
      <c r="AO4" s="101" t="s">
        <v>51</v>
      </c>
      <c r="AP4" s="101" t="s">
        <v>215</v>
      </c>
      <c r="AR4" s="101" t="s">
        <v>154</v>
      </c>
    </row>
    <row r="5" spans="1:44" ht="14.25" x14ac:dyDescent="0.2">
      <c r="A5" s="178"/>
      <c r="B5" s="113" t="s">
        <v>217</v>
      </c>
      <c r="C5" s="180"/>
      <c r="D5" s="180"/>
      <c r="E5" s="180"/>
      <c r="F5" s="180"/>
      <c r="G5" s="180"/>
      <c r="H5" s="180"/>
      <c r="I5" s="180"/>
      <c r="J5" s="180"/>
      <c r="K5" s="181"/>
      <c r="L5" s="181"/>
      <c r="M5" s="181"/>
      <c r="N5" s="181"/>
      <c r="O5" s="182"/>
      <c r="AO5" s="101" t="s">
        <v>152</v>
      </c>
      <c r="AP5" s="101" t="s">
        <v>248</v>
      </c>
      <c r="AR5" s="101" t="s">
        <v>140</v>
      </c>
    </row>
    <row r="6" spans="1:44" ht="14.25" x14ac:dyDescent="0.2">
      <c r="A6" s="178"/>
      <c r="B6" s="155" t="s">
        <v>218</v>
      </c>
      <c r="C6" s="180"/>
      <c r="D6" s="180"/>
      <c r="E6" s="180"/>
      <c r="F6" s="180"/>
      <c r="G6" s="180"/>
      <c r="H6" s="180"/>
      <c r="I6" s="180"/>
      <c r="J6" s="180"/>
      <c r="K6" s="181"/>
      <c r="L6" s="181"/>
      <c r="M6" s="181"/>
      <c r="N6" s="181"/>
      <c r="O6" s="182"/>
      <c r="AO6" s="101" t="s">
        <v>150</v>
      </c>
      <c r="AP6" s="101" t="s">
        <v>249</v>
      </c>
      <c r="AR6" s="101" t="s">
        <v>141</v>
      </c>
    </row>
    <row r="7" spans="1:44" ht="14.25" x14ac:dyDescent="0.2">
      <c r="A7" s="178"/>
      <c r="B7" s="155" t="s">
        <v>219</v>
      </c>
      <c r="C7" s="180"/>
      <c r="D7" s="180"/>
      <c r="E7" s="180"/>
      <c r="F7" s="180"/>
      <c r="G7" s="180"/>
      <c r="H7" s="180"/>
      <c r="I7" s="180"/>
      <c r="J7" s="180"/>
      <c r="K7" s="181"/>
      <c r="L7" s="181"/>
      <c r="M7" s="181"/>
      <c r="N7" s="181"/>
      <c r="O7" s="182"/>
      <c r="AP7" s="101" t="s">
        <v>250</v>
      </c>
    </row>
    <row r="8" spans="1:44" ht="14.25" x14ac:dyDescent="0.2">
      <c r="A8" s="178"/>
      <c r="B8" s="155" t="s">
        <v>220</v>
      </c>
      <c r="C8" s="180"/>
      <c r="D8" s="180"/>
      <c r="E8" s="180"/>
      <c r="F8" s="180"/>
      <c r="G8" s="180"/>
      <c r="H8" s="180"/>
      <c r="I8" s="180"/>
      <c r="J8" s="180"/>
      <c r="K8" s="181"/>
      <c r="L8" s="181"/>
      <c r="M8" s="181"/>
      <c r="N8" s="181"/>
      <c r="O8" s="182"/>
    </row>
    <row r="9" spans="1:44" ht="14.25" x14ac:dyDescent="0.2">
      <c r="A9" s="178"/>
      <c r="B9" s="114" t="s">
        <v>284</v>
      </c>
      <c r="C9" s="180"/>
      <c r="D9" s="180"/>
      <c r="E9" s="180"/>
      <c r="F9" s="180"/>
      <c r="G9" s="180"/>
      <c r="H9" s="180"/>
      <c r="I9" s="180"/>
      <c r="J9" s="180"/>
      <c r="K9" s="181"/>
      <c r="L9" s="181"/>
      <c r="M9" s="181"/>
      <c r="N9" s="181"/>
      <c r="O9" s="182"/>
    </row>
    <row r="10" spans="1:44" ht="14.25" x14ac:dyDescent="0.2">
      <c r="A10" s="178"/>
      <c r="B10" s="159" t="s">
        <v>47</v>
      </c>
      <c r="C10" s="180"/>
      <c r="D10" s="180"/>
      <c r="E10" s="180"/>
      <c r="F10" s="180"/>
      <c r="G10" s="180"/>
      <c r="H10" s="180"/>
      <c r="I10" s="180"/>
      <c r="J10" s="180"/>
      <c r="K10" s="181"/>
      <c r="L10" s="181"/>
      <c r="M10" s="181"/>
      <c r="N10" s="181"/>
      <c r="O10" s="182"/>
    </row>
    <row r="11" spans="1:44" ht="14.25" x14ac:dyDescent="0.2">
      <c r="A11" s="178"/>
      <c r="B11" s="159" t="s">
        <v>48</v>
      </c>
      <c r="C11" s="180"/>
      <c r="D11" s="180"/>
      <c r="E11" s="180"/>
      <c r="F11" s="180"/>
      <c r="G11" s="180"/>
      <c r="H11" s="180"/>
      <c r="I11" s="180"/>
      <c r="J11" s="180"/>
      <c r="K11" s="181"/>
      <c r="L11" s="181"/>
      <c r="M11" s="181"/>
      <c r="N11" s="181"/>
      <c r="O11" s="182"/>
    </row>
    <row r="12" spans="1:44" ht="15" x14ac:dyDescent="0.25">
      <c r="A12" s="178"/>
      <c r="B12" s="159" t="s">
        <v>300</v>
      </c>
      <c r="C12" s="180"/>
      <c r="D12" s="180"/>
      <c r="E12" s="180"/>
      <c r="F12" s="180"/>
      <c r="G12" s="180"/>
      <c r="H12" s="180"/>
      <c r="I12" s="180"/>
      <c r="J12" s="180"/>
      <c r="K12" s="181"/>
      <c r="L12" s="181"/>
      <c r="M12" s="181"/>
      <c r="N12" s="181"/>
      <c r="O12" s="182"/>
    </row>
    <row r="13" spans="1:44" ht="14.25" x14ac:dyDescent="0.2">
      <c r="A13" s="178"/>
      <c r="B13" s="159" t="s">
        <v>301</v>
      </c>
      <c r="C13" s="180"/>
      <c r="D13" s="180"/>
      <c r="E13" s="180"/>
      <c r="F13" s="180"/>
      <c r="G13" s="180"/>
      <c r="H13" s="180"/>
      <c r="I13" s="180"/>
      <c r="J13" s="180"/>
      <c r="K13" s="181"/>
      <c r="L13" s="181"/>
      <c r="M13" s="181"/>
      <c r="N13" s="181"/>
      <c r="O13" s="182"/>
    </row>
    <row r="14" spans="1:44" ht="13.5" thickBot="1" x14ac:dyDescent="0.25">
      <c r="A14" s="178"/>
      <c r="B14" s="179"/>
      <c r="C14" s="180"/>
      <c r="D14" s="180"/>
      <c r="E14" s="180"/>
      <c r="F14" s="180"/>
      <c r="G14" s="180"/>
      <c r="H14" s="180"/>
      <c r="I14" s="180"/>
      <c r="J14" s="180"/>
      <c r="K14" s="181"/>
      <c r="L14" s="181"/>
      <c r="M14" s="181"/>
      <c r="N14" s="181"/>
      <c r="O14" s="182"/>
    </row>
    <row r="15" spans="1:44" ht="16.5" thickBot="1" x14ac:dyDescent="0.3">
      <c r="A15" s="178"/>
      <c r="B15" s="22" t="s">
        <v>39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171"/>
    </row>
    <row r="16" spans="1:44" x14ac:dyDescent="0.2">
      <c r="A16" s="178"/>
      <c r="B16" s="179"/>
      <c r="C16" s="180"/>
      <c r="D16" s="180"/>
      <c r="E16" s="180"/>
      <c r="F16" s="180"/>
      <c r="G16" s="180"/>
      <c r="H16" s="180"/>
      <c r="I16" s="180"/>
      <c r="J16" s="180"/>
      <c r="K16" s="181"/>
      <c r="L16" s="181"/>
      <c r="M16" s="181"/>
      <c r="N16" s="181"/>
      <c r="O16" s="182"/>
    </row>
    <row r="17" spans="1:102" ht="15" x14ac:dyDescent="0.25">
      <c r="A17" s="178"/>
      <c r="B17" s="160" t="s">
        <v>214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2"/>
      <c r="O17" s="182"/>
      <c r="AC17" s="70" t="s">
        <v>214</v>
      </c>
      <c r="AO17" s="150" t="s">
        <v>285</v>
      </c>
      <c r="AR17" s="101" t="s">
        <v>260</v>
      </c>
      <c r="AX17" s="101" t="s">
        <v>261</v>
      </c>
      <c r="BD17" s="101" t="s">
        <v>262</v>
      </c>
      <c r="BJ17" s="101" t="s">
        <v>263</v>
      </c>
      <c r="BP17" s="101" t="s">
        <v>264</v>
      </c>
      <c r="BV17" s="101" t="s">
        <v>265</v>
      </c>
      <c r="CB17" s="101" t="s">
        <v>266</v>
      </c>
      <c r="CH17" s="101" t="s">
        <v>267</v>
      </c>
      <c r="CN17" s="101" t="s">
        <v>268</v>
      </c>
      <c r="CT17" s="101" t="s">
        <v>269</v>
      </c>
    </row>
    <row r="18" spans="1:102" ht="32.25" customHeight="1" x14ac:dyDescent="0.25">
      <c r="A18" s="178"/>
      <c r="B18" s="164" t="s">
        <v>143</v>
      </c>
      <c r="C18" s="164" t="s">
        <v>144</v>
      </c>
      <c r="D18" s="164" t="s">
        <v>145</v>
      </c>
      <c r="E18" s="164" t="s">
        <v>149</v>
      </c>
      <c r="F18" s="164" t="s">
        <v>206</v>
      </c>
      <c r="G18" s="164" t="s">
        <v>215</v>
      </c>
      <c r="H18" s="164" t="s">
        <v>154</v>
      </c>
      <c r="I18" s="164" t="s">
        <v>146</v>
      </c>
      <c r="J18" s="164" t="s">
        <v>213</v>
      </c>
      <c r="K18" s="164" t="s">
        <v>297</v>
      </c>
      <c r="L18" s="164" t="s">
        <v>296</v>
      </c>
      <c r="M18" s="164" t="s">
        <v>298</v>
      </c>
      <c r="N18" s="229" t="s">
        <v>299</v>
      </c>
      <c r="O18" s="182"/>
      <c r="AC18" s="71" t="s">
        <v>197</v>
      </c>
      <c r="AD18" s="102" t="s">
        <v>198</v>
      </c>
      <c r="AE18" s="102" t="s">
        <v>251</v>
      </c>
      <c r="AF18" s="100" t="s">
        <v>252</v>
      </c>
      <c r="AG18" s="100" t="s">
        <v>213</v>
      </c>
      <c r="AH18" s="100" t="s">
        <v>258</v>
      </c>
      <c r="AI18" s="100" t="s">
        <v>259</v>
      </c>
      <c r="AJ18" s="100" t="s">
        <v>257</v>
      </c>
      <c r="AK18" s="100" t="s">
        <v>270</v>
      </c>
      <c r="AL18" s="100" t="s">
        <v>117</v>
      </c>
      <c r="AM18" s="100" t="s">
        <v>289</v>
      </c>
      <c r="AO18" s="101" t="s">
        <v>255</v>
      </c>
      <c r="AP18" s="101" t="s">
        <v>256</v>
      </c>
      <c r="AR18" s="1"/>
      <c r="AS18" t="s">
        <v>142</v>
      </c>
      <c r="AT18"/>
      <c r="AU18"/>
      <c r="AV18"/>
      <c r="AX18" s="1"/>
      <c r="AY18" t="s">
        <v>142</v>
      </c>
      <c r="AZ18"/>
      <c r="BA18"/>
      <c r="BB18"/>
      <c r="BD18" s="1"/>
      <c r="BE18" t="s">
        <v>193</v>
      </c>
      <c r="BF18"/>
      <c r="BG18"/>
      <c r="BH18"/>
      <c r="BJ18" s="1"/>
      <c r="BK18" t="s">
        <v>193</v>
      </c>
      <c r="BL18"/>
      <c r="BM18"/>
      <c r="BN18"/>
      <c r="BP18" s="1"/>
      <c r="BQ18" t="s">
        <v>193</v>
      </c>
      <c r="BR18"/>
      <c r="BS18"/>
      <c r="BT18"/>
      <c r="BV18" s="1"/>
      <c r="BW18" t="s">
        <v>193</v>
      </c>
      <c r="BX18"/>
      <c r="BY18"/>
      <c r="BZ18"/>
      <c r="CB18" s="1"/>
      <c r="CC18" t="s">
        <v>193</v>
      </c>
      <c r="CD18"/>
      <c r="CE18"/>
      <c r="CF18"/>
      <c r="CH18" s="1"/>
      <c r="CI18" t="s">
        <v>193</v>
      </c>
      <c r="CJ18"/>
      <c r="CK18"/>
      <c r="CL18"/>
      <c r="CN18" s="1"/>
      <c r="CO18" t="s">
        <v>193</v>
      </c>
      <c r="CP18"/>
      <c r="CQ18"/>
      <c r="CR18"/>
      <c r="CT18" s="1"/>
      <c r="CU18" t="s">
        <v>193</v>
      </c>
      <c r="CV18"/>
      <c r="CW18"/>
      <c r="CX18"/>
    </row>
    <row r="19" spans="1:102" ht="24" customHeight="1" x14ac:dyDescent="0.25">
      <c r="A19" s="178"/>
      <c r="B19" s="204">
        <v>1</v>
      </c>
      <c r="C19" s="205"/>
      <c r="D19" s="205"/>
      <c r="E19" s="189"/>
      <c r="F19" s="205"/>
      <c r="G19" s="205" t="s">
        <v>248</v>
      </c>
      <c r="H19" s="205"/>
      <c r="I19" s="205"/>
      <c r="J19" s="205"/>
      <c r="K19" s="206" t="e">
        <f t="shared" ref="K19:K23" ca="1" si="0">IF(AK19="NA","Ineligible","$"&amp;AM19&amp;"/ton")</f>
        <v>#N/A</v>
      </c>
      <c r="L19" s="206" t="e">
        <f t="shared" ref="L19:L23" ca="1" si="1">IF(AK19="NA","Ineligible","$"&amp;AL19&amp;"/ton")</f>
        <v>#N/A</v>
      </c>
      <c r="M19" s="207">
        <f t="shared" ref="M19:M23" ca="1" si="2">IF(ISNA(AL19),0,AM19*D19*AC19)/12000</f>
        <v>0</v>
      </c>
      <c r="N19" s="207">
        <f ca="1">IF(ISNA(AL19),0,AL19*D19*AC19)/12000</f>
        <v>0</v>
      </c>
      <c r="O19" s="182"/>
      <c r="AC19" s="27">
        <f>IF(F19="Btuh",E19,IF(F19="tons",E19*12000,0))</f>
        <v>0</v>
      </c>
      <c r="AD19" s="38" t="str">
        <f>IF(AC19&lt;65000,"One",IF(AND(AC19&gt;=65000,AC19&lt;135000),"Two",IF(AND(AC19&gt;=135000,AC19&lt;240000),"Three",IF(AND(AC19&gt;=240000,AC19&lt;760000),"Four","Five"))))</f>
        <v>One</v>
      </c>
      <c r="AE19" s="38" t="str">
        <f>IF(AD19="One","All",VLOOKUP(Table20[[#This Row],[Heating Section Type]],$AO$19:$AP$23,2,0))</f>
        <v>All</v>
      </c>
      <c r="AF19" s="38" t="e">
        <f>IF(AD19="One",VLOOKUP(Table20[[#This Row],[System Type]],$AO$19:$AP$23,2,0),"All")</f>
        <v>#N/A</v>
      </c>
      <c r="AG19" s="38" t="str">
        <f>IF(AD19="One","SEER","IEER")</f>
        <v>SEER</v>
      </c>
      <c r="AH19" s="38" t="e">
        <f>AD19&amp;"_"&amp;AE19&amp;"_"&amp;AF19&amp;"_"&amp;"EER"</f>
        <v>#N/A</v>
      </c>
      <c r="AI19" s="38" t="e">
        <f>AD19&amp;"_"&amp;AE19&amp;"_"&amp;AF19&amp;"_"&amp;AG19</f>
        <v>#N/A</v>
      </c>
      <c r="AJ19" s="38" t="e">
        <f>AD19&amp;"_"&amp;AE19&amp;"_"&amp;AF19</f>
        <v>#N/A</v>
      </c>
      <c r="AK19" s="38" t="e">
        <f ca="1">INDEX(INDIRECT(AJ19),AS24,AS25)</f>
        <v>#N/A</v>
      </c>
      <c r="AL19" s="101" t="e">
        <f ca="1">IF(AK19=1,80,IF(AK19=2,100,IF(AK19=3,160,0)))</f>
        <v>#N/A</v>
      </c>
      <c r="AM19" s="101" t="e">
        <f ca="1">IF(AK19=1,280,IF(AK19=2,300,IF(AK19=3,360,0)))</f>
        <v>#N/A</v>
      </c>
      <c r="AO19" s="101" t="s">
        <v>248</v>
      </c>
      <c r="AP19" s="101" t="s">
        <v>253</v>
      </c>
      <c r="AR19" t="s">
        <v>146</v>
      </c>
      <c r="AS19" s="68">
        <v>0</v>
      </c>
      <c r="AT19" s="68">
        <v>15</v>
      </c>
      <c r="AU19" s="68">
        <v>16</v>
      </c>
      <c r="AV19" s="68">
        <v>18</v>
      </c>
      <c r="AX19" t="s">
        <v>146</v>
      </c>
      <c r="AY19" s="68">
        <v>0</v>
      </c>
      <c r="AZ19" s="68">
        <v>15</v>
      </c>
      <c r="BA19" s="68">
        <v>16</v>
      </c>
      <c r="BB19" s="68">
        <v>17</v>
      </c>
      <c r="BD19" t="s">
        <v>146</v>
      </c>
      <c r="BE19" s="68">
        <v>0</v>
      </c>
      <c r="BF19" s="68">
        <v>14</v>
      </c>
      <c r="BG19" s="68">
        <v>14.8</v>
      </c>
      <c r="BH19" s="68">
        <v>18</v>
      </c>
      <c r="BJ19" t="s">
        <v>146</v>
      </c>
      <c r="BK19" s="68">
        <v>0</v>
      </c>
      <c r="BL19" s="68">
        <v>13.8</v>
      </c>
      <c r="BM19" s="68">
        <v>14.6</v>
      </c>
      <c r="BN19" s="68">
        <v>17.8</v>
      </c>
      <c r="BP19" t="s">
        <v>146</v>
      </c>
      <c r="BQ19" s="68">
        <v>0</v>
      </c>
      <c r="BR19" s="68">
        <v>13.2</v>
      </c>
      <c r="BS19" s="68">
        <v>14.2</v>
      </c>
      <c r="BT19" s="68">
        <v>17</v>
      </c>
      <c r="BV19" t="s">
        <v>146</v>
      </c>
      <c r="BW19" s="68">
        <v>0</v>
      </c>
      <c r="BX19" s="68">
        <v>13</v>
      </c>
      <c r="BY19" s="68">
        <v>14</v>
      </c>
      <c r="BZ19" s="68">
        <v>16.8</v>
      </c>
      <c r="CB19" t="s">
        <v>146</v>
      </c>
      <c r="CC19" s="68">
        <v>0</v>
      </c>
      <c r="CD19" s="68">
        <v>12.3</v>
      </c>
      <c r="CE19" s="68">
        <v>13.2</v>
      </c>
      <c r="CF19" s="68">
        <v>14.5</v>
      </c>
      <c r="CH19" t="s">
        <v>146</v>
      </c>
      <c r="CI19" s="68">
        <v>0</v>
      </c>
      <c r="CJ19" s="68">
        <v>12.1</v>
      </c>
      <c r="CK19" s="68">
        <v>13</v>
      </c>
      <c r="CL19" s="68">
        <v>14.3</v>
      </c>
      <c r="CN19" t="s">
        <v>146</v>
      </c>
      <c r="CO19" s="68">
        <v>0</v>
      </c>
      <c r="CP19" s="68">
        <v>11.6</v>
      </c>
      <c r="CQ19" s="68">
        <v>12.3</v>
      </c>
      <c r="CR19" s="68"/>
      <c r="CT19" t="s">
        <v>146</v>
      </c>
      <c r="CU19" s="68">
        <v>0</v>
      </c>
      <c r="CV19" s="68">
        <v>11.4</v>
      </c>
      <c r="CW19" s="68">
        <v>12.1</v>
      </c>
      <c r="CX19" s="68"/>
    </row>
    <row r="20" spans="1:102" ht="24" customHeight="1" x14ac:dyDescent="0.25">
      <c r="A20" s="178"/>
      <c r="B20" s="208">
        <v>2</v>
      </c>
      <c r="C20" s="209"/>
      <c r="D20" s="209"/>
      <c r="E20" s="194"/>
      <c r="F20" s="209"/>
      <c r="G20" s="209" t="s">
        <v>249</v>
      </c>
      <c r="H20" s="209"/>
      <c r="I20" s="209"/>
      <c r="J20" s="209"/>
      <c r="K20" s="206" t="e">
        <f t="shared" ca="1" si="0"/>
        <v>#N/A</v>
      </c>
      <c r="L20" s="206" t="e">
        <f t="shared" ca="1" si="1"/>
        <v>#N/A</v>
      </c>
      <c r="M20" s="207">
        <f t="shared" ca="1" si="2"/>
        <v>0</v>
      </c>
      <c r="N20" s="207">
        <f t="shared" ref="N20:N23" ca="1" si="3">IF(ISNA(AL20),0,AL20*D20*AC20)/12000</f>
        <v>0</v>
      </c>
      <c r="O20" s="182"/>
      <c r="AC20" s="27">
        <f>IF(F20="Btuh",E20,IF(F20="tons",E20*12000,0))</f>
        <v>0</v>
      </c>
      <c r="AD20" s="38" t="str">
        <f t="shared" ref="AD20:AD22" si="4">IF(AC20&lt;65000,"One",IF(AND(AC20&gt;=65000,AC20&lt;135000),"Two",IF(AND(AC20&gt;=135000,AC20&lt;240000),"Three",IF(AND(AC20&gt;=240000,AC20&lt;760000),"Four","Five"))))</f>
        <v>One</v>
      </c>
      <c r="AE20" s="38" t="str">
        <f>IF(AD20="One","All",VLOOKUP(Table20[[#This Row],[Heating Section Type]],$AO$19:$AP$23,2,0))</f>
        <v>All</v>
      </c>
      <c r="AF20" s="38" t="e">
        <f>IF(AD20="One",VLOOKUP(Table20[[#This Row],[System Type]],$AO$19:$AP$23,2,0),"All")</f>
        <v>#N/A</v>
      </c>
      <c r="AG20" s="38" t="str">
        <f t="shared" ref="AG20:AG23" si="5">IF(AD20="One","SEER","IEER")</f>
        <v>SEER</v>
      </c>
      <c r="AH20" s="38" t="e">
        <f t="shared" ref="AH20:AH23" si="6">AD20&amp;"_"&amp;AE20&amp;"_"&amp;AF20&amp;"_"&amp;"EER"</f>
        <v>#N/A</v>
      </c>
      <c r="AI20" s="38" t="e">
        <f t="shared" ref="AI20:AI23" si="7">AD20&amp;"_"&amp;AE20&amp;"_"&amp;AF20&amp;"_"&amp;AG20</f>
        <v>#N/A</v>
      </c>
      <c r="AJ20" s="38" t="e">
        <f t="shared" ref="AJ20:AJ23" si="8">AD20&amp;"_"&amp;AE20&amp;"_"&amp;AF20</f>
        <v>#N/A</v>
      </c>
      <c r="AK20" s="38" t="e">
        <f ca="1">INDEX(INDIRECT(AJ20),AS27,AS28)</f>
        <v>#N/A</v>
      </c>
      <c r="AL20" s="101" t="e">
        <f ca="1">IF(AK20=1,80,IF(AK20=2,100,IF(AK20=3,160,0)))</f>
        <v>#N/A</v>
      </c>
      <c r="AM20" s="101" t="e">
        <f t="shared" ref="AM20:AM23" ca="1" si="9">IF(AK20=1,280,IF(AK20=2,300,IF(AK20=3,360,0)))</f>
        <v>#N/A</v>
      </c>
      <c r="AO20" s="101" t="s">
        <v>249</v>
      </c>
      <c r="AP20" s="101" t="s">
        <v>254</v>
      </c>
      <c r="AR20" s="69">
        <v>0</v>
      </c>
      <c r="AS20" s="6" t="s">
        <v>155</v>
      </c>
      <c r="AT20" s="6" t="s">
        <v>155</v>
      </c>
      <c r="AU20" s="6" t="s">
        <v>155</v>
      </c>
      <c r="AV20" s="6" t="s">
        <v>155</v>
      </c>
      <c r="AX20" s="69">
        <v>0</v>
      </c>
      <c r="AY20" s="6" t="s">
        <v>155</v>
      </c>
      <c r="AZ20" s="6" t="s">
        <v>155</v>
      </c>
      <c r="BA20" s="6" t="s">
        <v>155</v>
      </c>
      <c r="BB20" s="6" t="s">
        <v>155</v>
      </c>
      <c r="BD20" s="69">
        <v>0</v>
      </c>
      <c r="BE20" s="6" t="s">
        <v>155</v>
      </c>
      <c r="BF20" s="6" t="s">
        <v>155</v>
      </c>
      <c r="BG20" s="6" t="s">
        <v>155</v>
      </c>
      <c r="BH20" s="6" t="s">
        <v>155</v>
      </c>
      <c r="BJ20" s="69">
        <v>0</v>
      </c>
      <c r="BK20" s="6" t="s">
        <v>155</v>
      </c>
      <c r="BL20" s="6" t="s">
        <v>155</v>
      </c>
      <c r="BM20" s="6" t="s">
        <v>155</v>
      </c>
      <c r="BN20" s="6" t="s">
        <v>155</v>
      </c>
      <c r="BP20" s="69">
        <v>0</v>
      </c>
      <c r="BQ20" s="6" t="s">
        <v>155</v>
      </c>
      <c r="BR20" s="6" t="s">
        <v>155</v>
      </c>
      <c r="BS20" s="6" t="s">
        <v>155</v>
      </c>
      <c r="BT20" s="6" t="s">
        <v>155</v>
      </c>
      <c r="BV20" s="69">
        <v>0</v>
      </c>
      <c r="BW20" s="6" t="s">
        <v>155</v>
      </c>
      <c r="BX20" s="6" t="s">
        <v>155</v>
      </c>
      <c r="BY20" s="6" t="s">
        <v>155</v>
      </c>
      <c r="BZ20" s="6" t="s">
        <v>155</v>
      </c>
      <c r="CB20" s="69">
        <v>0</v>
      </c>
      <c r="CC20" s="6" t="s">
        <v>155</v>
      </c>
      <c r="CD20" s="6" t="s">
        <v>155</v>
      </c>
      <c r="CE20" s="6" t="s">
        <v>155</v>
      </c>
      <c r="CF20" s="6" t="s">
        <v>155</v>
      </c>
      <c r="CH20" s="69">
        <v>0</v>
      </c>
      <c r="CI20" s="6" t="s">
        <v>155</v>
      </c>
      <c r="CJ20" s="6" t="s">
        <v>155</v>
      </c>
      <c r="CK20" s="6" t="s">
        <v>155</v>
      </c>
      <c r="CL20" s="6" t="s">
        <v>155</v>
      </c>
      <c r="CN20" s="69">
        <v>0</v>
      </c>
      <c r="CO20" s="6" t="s">
        <v>155</v>
      </c>
      <c r="CP20" s="6" t="s">
        <v>155</v>
      </c>
      <c r="CQ20" s="6" t="s">
        <v>155</v>
      </c>
      <c r="CR20" s="6"/>
      <c r="CT20" s="69">
        <v>0</v>
      </c>
      <c r="CU20" s="6" t="s">
        <v>155</v>
      </c>
      <c r="CV20" s="6" t="s">
        <v>155</v>
      </c>
      <c r="CW20" s="6" t="s">
        <v>155</v>
      </c>
      <c r="CX20" s="6"/>
    </row>
    <row r="21" spans="1:102" ht="24" customHeight="1" x14ac:dyDescent="0.25">
      <c r="A21" s="178"/>
      <c r="B21" s="204">
        <v>3</v>
      </c>
      <c r="C21" s="205"/>
      <c r="D21" s="205"/>
      <c r="E21" s="189"/>
      <c r="F21" s="205"/>
      <c r="G21" s="205" t="s">
        <v>248</v>
      </c>
      <c r="H21" s="205"/>
      <c r="I21" s="205"/>
      <c r="J21" s="205"/>
      <c r="K21" s="206" t="e">
        <f t="shared" ca="1" si="0"/>
        <v>#N/A</v>
      </c>
      <c r="L21" s="206" t="e">
        <f t="shared" ca="1" si="1"/>
        <v>#N/A</v>
      </c>
      <c r="M21" s="207">
        <f t="shared" ca="1" si="2"/>
        <v>0</v>
      </c>
      <c r="N21" s="207">
        <f t="shared" ca="1" si="3"/>
        <v>0</v>
      </c>
      <c r="O21" s="182"/>
      <c r="AC21" s="27">
        <f>IF(F21="Btuh",E21,IF(F21="tons",E21*12000,0))</f>
        <v>0</v>
      </c>
      <c r="AD21" s="38" t="str">
        <f t="shared" si="4"/>
        <v>One</v>
      </c>
      <c r="AE21" s="38" t="str">
        <f>IF(AD21="One","All",VLOOKUP(Table20[[#This Row],[Heating Section Type]],$AO$19:$AP$23,2,0))</f>
        <v>All</v>
      </c>
      <c r="AF21" s="38" t="e">
        <f>IF(AD21="One",VLOOKUP(Table20[[#This Row],[System Type]],$AO$19:$AP$23,2,0),"All")</f>
        <v>#N/A</v>
      </c>
      <c r="AG21" s="38" t="str">
        <f t="shared" si="5"/>
        <v>SEER</v>
      </c>
      <c r="AH21" s="38" t="e">
        <f t="shared" si="6"/>
        <v>#N/A</v>
      </c>
      <c r="AI21" s="38" t="e">
        <f t="shared" si="7"/>
        <v>#N/A</v>
      </c>
      <c r="AJ21" s="38" t="e">
        <f t="shared" si="8"/>
        <v>#N/A</v>
      </c>
      <c r="AK21" s="38" t="e">
        <f ca="1">INDEX(INDIRECT(AJ21),AS30,AS31)</f>
        <v>#N/A</v>
      </c>
      <c r="AL21" s="101" t="e">
        <f ca="1">IF(AK21=1,80,IF(AK21=2,100,IF(AK21=3,160,0)))</f>
        <v>#N/A</v>
      </c>
      <c r="AM21" s="101" t="e">
        <f t="shared" ca="1" si="9"/>
        <v>#N/A</v>
      </c>
      <c r="AO21" s="101" t="s">
        <v>250</v>
      </c>
      <c r="AP21" s="101" t="s">
        <v>253</v>
      </c>
      <c r="AR21" s="69">
        <v>12.5</v>
      </c>
      <c r="AS21" s="6" t="s">
        <v>155</v>
      </c>
      <c r="AT21" s="6">
        <v>1</v>
      </c>
      <c r="AU21" s="6">
        <v>1</v>
      </c>
      <c r="AV21" s="6">
        <v>1</v>
      </c>
      <c r="AX21" s="69">
        <v>12</v>
      </c>
      <c r="AY21" s="6" t="s">
        <v>155</v>
      </c>
      <c r="AZ21" s="6">
        <v>1</v>
      </c>
      <c r="BA21" s="6">
        <v>2</v>
      </c>
      <c r="BB21" s="6">
        <v>2</v>
      </c>
      <c r="BD21" s="69">
        <v>12.2</v>
      </c>
      <c r="BE21" s="6" t="s">
        <v>155</v>
      </c>
      <c r="BF21" s="6">
        <v>1</v>
      </c>
      <c r="BG21" s="6">
        <v>1</v>
      </c>
      <c r="BH21" s="6">
        <v>1</v>
      </c>
      <c r="BJ21" s="69">
        <v>12</v>
      </c>
      <c r="BK21" s="6" t="s">
        <v>155</v>
      </c>
      <c r="BL21" s="6">
        <v>1</v>
      </c>
      <c r="BM21" s="6">
        <v>1</v>
      </c>
      <c r="BN21" s="6">
        <v>1</v>
      </c>
      <c r="BP21" s="69">
        <v>12.2</v>
      </c>
      <c r="BQ21" s="6" t="s">
        <v>155</v>
      </c>
      <c r="BR21" s="6">
        <v>1</v>
      </c>
      <c r="BS21" s="6">
        <v>1</v>
      </c>
      <c r="BT21" s="6">
        <v>1</v>
      </c>
      <c r="BV21" s="69">
        <v>12</v>
      </c>
      <c r="BW21" s="6" t="s">
        <v>155</v>
      </c>
      <c r="BX21" s="6">
        <v>1</v>
      </c>
      <c r="BY21" s="6">
        <v>1</v>
      </c>
      <c r="BZ21" s="6">
        <v>1</v>
      </c>
      <c r="CB21" s="69">
        <v>10.5</v>
      </c>
      <c r="CC21" s="6" t="s">
        <v>155</v>
      </c>
      <c r="CD21" s="6">
        <v>1</v>
      </c>
      <c r="CE21" s="6">
        <v>1</v>
      </c>
      <c r="CF21" s="6">
        <v>1</v>
      </c>
      <c r="CH21" s="69">
        <v>10.3</v>
      </c>
      <c r="CI21" s="6" t="s">
        <v>155</v>
      </c>
      <c r="CJ21" s="6">
        <v>1</v>
      </c>
      <c r="CK21" s="6">
        <v>1</v>
      </c>
      <c r="CL21" s="6">
        <v>1</v>
      </c>
      <c r="CN21" s="69">
        <v>9.9</v>
      </c>
      <c r="CO21" s="6" t="s">
        <v>155</v>
      </c>
      <c r="CP21" s="6">
        <v>1</v>
      </c>
      <c r="CQ21" s="6">
        <v>1</v>
      </c>
      <c r="CR21" s="6"/>
      <c r="CT21" s="69">
        <v>9.6999999999999993</v>
      </c>
      <c r="CU21" s="6" t="s">
        <v>155</v>
      </c>
      <c r="CV21" s="6">
        <v>1</v>
      </c>
      <c r="CW21" s="6">
        <v>1</v>
      </c>
      <c r="CX21" s="6"/>
    </row>
    <row r="22" spans="1:102" ht="24" customHeight="1" x14ac:dyDescent="0.25">
      <c r="A22" s="178"/>
      <c r="B22" s="208">
        <v>4</v>
      </c>
      <c r="C22" s="209"/>
      <c r="D22" s="209"/>
      <c r="E22" s="194"/>
      <c r="F22" s="209"/>
      <c r="G22" s="209" t="s">
        <v>249</v>
      </c>
      <c r="H22" s="209"/>
      <c r="I22" s="209"/>
      <c r="J22" s="209"/>
      <c r="K22" s="206" t="e">
        <f t="shared" ca="1" si="0"/>
        <v>#N/A</v>
      </c>
      <c r="L22" s="206" t="e">
        <f t="shared" ca="1" si="1"/>
        <v>#N/A</v>
      </c>
      <c r="M22" s="207">
        <f t="shared" ca="1" si="2"/>
        <v>0</v>
      </c>
      <c r="N22" s="207">
        <f t="shared" ca="1" si="3"/>
        <v>0</v>
      </c>
      <c r="O22" s="182"/>
      <c r="AC22" s="27">
        <f>IF(F22="Btuh",E22,IF(F22="tons",E22*12000,0))</f>
        <v>0</v>
      </c>
      <c r="AD22" s="38" t="str">
        <f t="shared" si="4"/>
        <v>One</v>
      </c>
      <c r="AE22" s="38" t="str">
        <f>IF(AD22="One","All",VLOOKUP(Table20[[#This Row],[Heating Section Type]],$AO$19:$AP$23,2,0))</f>
        <v>All</v>
      </c>
      <c r="AF22" s="38" t="e">
        <f>IF(AD22="One",VLOOKUP(Table20[[#This Row],[System Type]],$AO$19:$AP$23,2,0),"All")</f>
        <v>#N/A</v>
      </c>
      <c r="AG22" s="38" t="str">
        <f t="shared" si="5"/>
        <v>SEER</v>
      </c>
      <c r="AH22" s="38" t="e">
        <f t="shared" si="6"/>
        <v>#N/A</v>
      </c>
      <c r="AI22" s="38" t="e">
        <f t="shared" si="7"/>
        <v>#N/A</v>
      </c>
      <c r="AJ22" s="38" t="e">
        <f t="shared" si="8"/>
        <v>#N/A</v>
      </c>
      <c r="AK22" s="38" t="e">
        <f ca="1">INDEX(INDIRECT(AJ22),AS33,AS34)</f>
        <v>#N/A</v>
      </c>
      <c r="AL22" s="101" t="e">
        <f ca="1">IF(AK22=1,80,IF(AK22=2,100,IF(AK22=3,160,0)))</f>
        <v>#N/A</v>
      </c>
      <c r="AM22" s="101" t="e">
        <f t="shared" ca="1" si="9"/>
        <v>#N/A</v>
      </c>
      <c r="AO22" s="101" t="s">
        <v>140</v>
      </c>
      <c r="AP22" s="101" t="s">
        <v>164</v>
      </c>
      <c r="AR22" s="69">
        <v>13</v>
      </c>
      <c r="AS22" s="6" t="s">
        <v>155</v>
      </c>
      <c r="AT22" s="6">
        <v>1</v>
      </c>
      <c r="AU22" s="6">
        <v>2</v>
      </c>
      <c r="AV22" s="6">
        <v>3</v>
      </c>
      <c r="AX22" s="69">
        <v>12.5</v>
      </c>
      <c r="AY22" s="6" t="s">
        <v>155</v>
      </c>
      <c r="AZ22" s="6">
        <v>1</v>
      </c>
      <c r="BA22" s="6">
        <v>2</v>
      </c>
      <c r="BB22" s="6">
        <v>3</v>
      </c>
      <c r="BD22" s="69">
        <v>12.2</v>
      </c>
      <c r="BE22" s="6" t="s">
        <v>155</v>
      </c>
      <c r="BF22" s="6">
        <v>1</v>
      </c>
      <c r="BG22" s="6">
        <v>2</v>
      </c>
      <c r="BH22" s="6">
        <v>2</v>
      </c>
      <c r="BJ22" s="69">
        <v>12</v>
      </c>
      <c r="BK22" s="6" t="s">
        <v>155</v>
      </c>
      <c r="BL22" s="6">
        <v>1</v>
      </c>
      <c r="BM22" s="6">
        <v>2</v>
      </c>
      <c r="BN22" s="6">
        <v>2</v>
      </c>
      <c r="BP22" s="69">
        <v>12.2</v>
      </c>
      <c r="BQ22" s="6" t="s">
        <v>155</v>
      </c>
      <c r="BR22" s="6">
        <v>1</v>
      </c>
      <c r="BS22" s="6">
        <v>2</v>
      </c>
      <c r="BT22" s="6">
        <v>3</v>
      </c>
      <c r="BV22" s="69">
        <v>12</v>
      </c>
      <c r="BW22" s="6" t="s">
        <v>155</v>
      </c>
      <c r="BX22" s="6">
        <v>1</v>
      </c>
      <c r="BY22" s="6">
        <v>2</v>
      </c>
      <c r="BZ22" s="6">
        <v>3</v>
      </c>
      <c r="CB22" s="69">
        <v>10.8</v>
      </c>
      <c r="CC22" s="6" t="s">
        <v>155</v>
      </c>
      <c r="CD22" s="6">
        <v>1</v>
      </c>
      <c r="CE22" s="6">
        <v>2</v>
      </c>
      <c r="CF22" s="6">
        <v>3</v>
      </c>
      <c r="CH22" s="69">
        <v>10.6</v>
      </c>
      <c r="CI22" s="6" t="s">
        <v>155</v>
      </c>
      <c r="CJ22" s="6">
        <v>1</v>
      </c>
      <c r="CK22" s="6">
        <v>2</v>
      </c>
      <c r="CL22" s="6">
        <v>3</v>
      </c>
      <c r="CN22" s="69">
        <v>10.4</v>
      </c>
      <c r="CO22" s="6" t="s">
        <v>155</v>
      </c>
      <c r="CP22" s="6">
        <v>1</v>
      </c>
      <c r="CQ22" s="6">
        <v>2</v>
      </c>
      <c r="CR22" s="6"/>
      <c r="CT22" s="69">
        <v>10.199999999999999</v>
      </c>
      <c r="CU22" s="6" t="s">
        <v>155</v>
      </c>
      <c r="CV22" s="6">
        <v>1</v>
      </c>
      <c r="CW22" s="6">
        <v>2</v>
      </c>
      <c r="CX22" s="6"/>
    </row>
    <row r="23" spans="1:102" ht="24" customHeight="1" x14ac:dyDescent="0.25">
      <c r="A23" s="178"/>
      <c r="B23" s="204">
        <v>5</v>
      </c>
      <c r="C23" s="205"/>
      <c r="D23" s="205"/>
      <c r="E23" s="189"/>
      <c r="F23" s="205"/>
      <c r="G23" s="205"/>
      <c r="H23" s="205"/>
      <c r="I23" s="205"/>
      <c r="J23" s="205"/>
      <c r="K23" s="206" t="e">
        <f t="shared" ca="1" si="0"/>
        <v>#N/A</v>
      </c>
      <c r="L23" s="206" t="e">
        <f t="shared" ca="1" si="1"/>
        <v>#N/A</v>
      </c>
      <c r="M23" s="207">
        <f t="shared" ca="1" si="2"/>
        <v>0</v>
      </c>
      <c r="N23" s="207">
        <f t="shared" ca="1" si="3"/>
        <v>0</v>
      </c>
      <c r="O23" s="182"/>
      <c r="AC23" s="27">
        <f>IF(F23="Btuh",E23,IF(F23="tons",E23*12000,0))</f>
        <v>0</v>
      </c>
      <c r="AD23" s="38" t="str">
        <f>IF(AC23&lt;65000,"One",IF(AND(AC23&gt;=65000,AC23&lt;135000),"Two",IF(AND(AC23&gt;=135000,AC23&lt;240000),"Three",IF(AND(AC23&gt;=240000,AC23&lt;760000),"Four","Five"))))</f>
        <v>One</v>
      </c>
      <c r="AE23" s="38" t="str">
        <f>IF(AD23="One","All",VLOOKUP(Table20[[#This Row],[Heating Section Type]],$AO$19:$AP$23,2,0))</f>
        <v>All</v>
      </c>
      <c r="AF23" s="38" t="e">
        <f>IF(AD23="One",VLOOKUP(Table20[[#This Row],[System Type]],$AO$19:$AP$23,2,0),"All")</f>
        <v>#N/A</v>
      </c>
      <c r="AG23" s="38" t="str">
        <f t="shared" si="5"/>
        <v>SEER</v>
      </c>
      <c r="AH23" s="38" t="e">
        <f t="shared" si="6"/>
        <v>#N/A</v>
      </c>
      <c r="AI23" s="38" t="e">
        <f t="shared" si="7"/>
        <v>#N/A</v>
      </c>
      <c r="AJ23" s="38" t="e">
        <f t="shared" si="8"/>
        <v>#N/A</v>
      </c>
      <c r="AK23" s="38" t="e">
        <f ca="1">INDEX(INDIRECT(AJ23),AS36,AS37)</f>
        <v>#N/A</v>
      </c>
      <c r="AL23" s="101" t="e">
        <f ca="1">IF(AK23=1,80,IF(AK23=2,100,IF(AK23=3,160,0)))</f>
        <v>#N/A</v>
      </c>
      <c r="AM23" s="101" t="e">
        <f t="shared" ca="1" si="9"/>
        <v>#N/A</v>
      </c>
      <c r="AO23" s="101" t="s">
        <v>141</v>
      </c>
      <c r="AP23" s="101" t="s">
        <v>165</v>
      </c>
      <c r="AY23" s="6"/>
      <c r="BD23" s="69">
        <v>12.6</v>
      </c>
      <c r="BE23" s="6" t="s">
        <v>155</v>
      </c>
      <c r="BF23" s="6">
        <v>1</v>
      </c>
      <c r="BG23" s="6">
        <v>2</v>
      </c>
      <c r="BH23" s="6">
        <v>3</v>
      </c>
      <c r="BJ23" s="69">
        <v>12.4</v>
      </c>
      <c r="BK23" s="6" t="s">
        <v>155</v>
      </c>
      <c r="BL23" s="6">
        <v>1</v>
      </c>
      <c r="BM23" s="6">
        <v>2</v>
      </c>
      <c r="BN23" s="6">
        <v>3</v>
      </c>
    </row>
    <row r="24" spans="1:102" ht="15" x14ac:dyDescent="0.25">
      <c r="A24" s="178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70">
        <f ca="1">SUBTOTAL(109,Table20[[Accelerated Retirement Rebate ]])</f>
        <v>0</v>
      </c>
      <c r="N24" s="170">
        <f ca="1">SUBTOTAL(109,Table20[Natural Replacement Rebate])</f>
        <v>0</v>
      </c>
      <c r="O24" s="182"/>
      <c r="AC24" s="101"/>
      <c r="AD24" s="101"/>
      <c r="AE24" s="27"/>
      <c r="AJ24" s="38"/>
      <c r="AK24" s="38"/>
      <c r="AR24" s="36" t="s">
        <v>176</v>
      </c>
      <c r="AS24" s="101" t="e">
        <f ca="1">MATCH(I19,INDIRECT(AH19),1)</f>
        <v>#N/A</v>
      </c>
    </row>
    <row r="25" spans="1:102" ht="15" x14ac:dyDescent="0.25">
      <c r="A25" s="178"/>
      <c r="B25" s="179"/>
      <c r="C25" s="180"/>
      <c r="D25" s="180"/>
      <c r="E25" s="180"/>
      <c r="F25" s="180"/>
      <c r="G25" s="180"/>
      <c r="H25" s="180"/>
      <c r="I25" s="180"/>
      <c r="J25" s="180"/>
      <c r="K25" s="181"/>
      <c r="L25" s="181"/>
      <c r="M25" s="181"/>
      <c r="N25" s="181"/>
      <c r="O25" s="182"/>
      <c r="AR25" s="36" t="s">
        <v>177</v>
      </c>
      <c r="AS25" s="101" t="e">
        <f ca="1">MATCH(J19,INDIRECT(AI19),1)</f>
        <v>#N/A</v>
      </c>
    </row>
    <row r="26" spans="1:102" ht="15" x14ac:dyDescent="0.25">
      <c r="A26" s="178"/>
      <c r="B26" s="160" t="s">
        <v>211</v>
      </c>
      <c r="C26" s="161"/>
      <c r="D26" s="161"/>
      <c r="E26" s="161"/>
      <c r="F26" s="161"/>
      <c r="G26" s="161"/>
      <c r="H26" s="161"/>
      <c r="I26" s="161"/>
      <c r="J26" s="162"/>
      <c r="K26" s="181"/>
      <c r="L26" s="181"/>
      <c r="M26" s="181"/>
      <c r="N26" s="181"/>
      <c r="O26" s="182"/>
      <c r="AC26" s="70" t="s">
        <v>211</v>
      </c>
      <c r="AD26" s="2"/>
      <c r="AE26" s="2"/>
      <c r="AF26" s="2"/>
      <c r="AO26" s="103" t="s">
        <v>211</v>
      </c>
      <c r="AP26" s="104"/>
      <c r="AR26" s="1"/>
    </row>
    <row r="27" spans="1:102" ht="32.25" customHeight="1" x14ac:dyDescent="0.25">
      <c r="A27" s="178"/>
      <c r="B27" s="164" t="s">
        <v>143</v>
      </c>
      <c r="C27" s="164" t="s">
        <v>144</v>
      </c>
      <c r="D27" s="164" t="s">
        <v>145</v>
      </c>
      <c r="E27" s="164" t="s">
        <v>149</v>
      </c>
      <c r="F27" s="164" t="s">
        <v>206</v>
      </c>
      <c r="G27" s="164" t="s">
        <v>146</v>
      </c>
      <c r="H27" s="164" t="s">
        <v>212</v>
      </c>
      <c r="I27" s="164" t="s">
        <v>156</v>
      </c>
      <c r="J27" s="164" t="s">
        <v>182</v>
      </c>
      <c r="K27" s="181"/>
      <c r="L27" s="181"/>
      <c r="M27" s="181"/>
      <c r="N27" s="181"/>
      <c r="O27" s="182"/>
      <c r="AC27" s="71" t="s">
        <v>197</v>
      </c>
      <c r="AD27" s="13" t="s">
        <v>198</v>
      </c>
      <c r="AE27" s="13" t="s">
        <v>314</v>
      </c>
      <c r="AF27" s="13" t="s">
        <v>117</v>
      </c>
      <c r="AO27" s="104" t="s">
        <v>199</v>
      </c>
      <c r="AP27" s="105" t="s">
        <v>200</v>
      </c>
      <c r="AR27" s="36" t="s">
        <v>178</v>
      </c>
      <c r="AS27" s="101" t="e">
        <f ca="1">MATCH(I20,INDIRECT(AH20),1)</f>
        <v>#N/A</v>
      </c>
    </row>
    <row r="28" spans="1:102" ht="24" customHeight="1" x14ac:dyDescent="0.25">
      <c r="A28" s="178"/>
      <c r="B28" s="210">
        <v>1</v>
      </c>
      <c r="C28" s="205"/>
      <c r="D28" s="205"/>
      <c r="E28" s="189"/>
      <c r="F28" s="205"/>
      <c r="G28" s="205"/>
      <c r="H28" s="211">
        <f>VLOOKUP(AD28,$AO$28:$AP$31,2,0)</f>
        <v>11.3</v>
      </c>
      <c r="I28" s="211" t="str">
        <f t="shared" ref="I28:I32" si="10">IF(AE28="No","Ineligible","$"&amp;AF28&amp;"/ton")</f>
        <v>Ineligible</v>
      </c>
      <c r="J28" s="196">
        <f>Table18[[#This Row],['# of Units]]*AF28*AC28/12000</f>
        <v>0</v>
      </c>
      <c r="K28" s="181"/>
      <c r="L28" s="181"/>
      <c r="M28" s="181"/>
      <c r="N28" s="181"/>
      <c r="O28" s="182"/>
      <c r="AC28" s="27">
        <f>IF(F28="Btuh",E28,IF(F28="tons",E28*12000,0))</f>
        <v>0</v>
      </c>
      <c r="AD28" s="38">
        <f>IF(AC28&lt;7000,1,IF(AND(AC28&gt;=7000,AC28&lt;=11000),2,IF(AND(AC28&gt;11000,AC28&lt;=15000),3,4)))</f>
        <v>1</v>
      </c>
      <c r="AE28" s="38" t="str">
        <f>IF(G28&gt;=VLOOKUP($AD28,$AO$28:$AP$31,2,0),"Yes","No")</f>
        <v>No</v>
      </c>
      <c r="AF28" s="38">
        <f>IF(AE28="Yes",100,0)</f>
        <v>0</v>
      </c>
      <c r="AO28" s="106">
        <v>1</v>
      </c>
      <c r="AP28" s="105">
        <v>11.3</v>
      </c>
      <c r="AR28" s="36" t="s">
        <v>179</v>
      </c>
      <c r="AS28" s="101" t="e">
        <f ca="1">MATCH(J20,INDIRECT(AI20),1)</f>
        <v>#N/A</v>
      </c>
    </row>
    <row r="29" spans="1:102" ht="24" customHeight="1" x14ac:dyDescent="0.25">
      <c r="A29" s="178"/>
      <c r="B29" s="212">
        <v>2</v>
      </c>
      <c r="C29" s="209"/>
      <c r="D29" s="209"/>
      <c r="E29" s="194"/>
      <c r="F29" s="209"/>
      <c r="G29" s="209"/>
      <c r="H29" s="211">
        <f>VLOOKUP(AD29,$AO$28:$AP$31,2,0)</f>
        <v>11.3</v>
      </c>
      <c r="I29" s="211" t="str">
        <f t="shared" si="10"/>
        <v>Ineligible</v>
      </c>
      <c r="J29" s="196">
        <f>Table18[[#This Row],['# of Units]]*AF29*AC29/12000</f>
        <v>0</v>
      </c>
      <c r="K29" s="181"/>
      <c r="L29" s="181"/>
      <c r="M29" s="181"/>
      <c r="N29" s="181"/>
      <c r="O29" s="182"/>
      <c r="AC29" s="27">
        <f>IF(F29="Btuh",E29,IF(F29="tons",E29*12000,0))</f>
        <v>0</v>
      </c>
      <c r="AD29" s="38">
        <f t="shared" ref="AD29:AD32" si="11">IF(AC29&lt;7000,1,IF(AND(AC29&gt;=7000,AC29&lt;=11000),2,IF(AND(AC29&gt;11000,AC29&lt;=15000),3,4)))</f>
        <v>1</v>
      </c>
      <c r="AE29" s="38" t="str">
        <f>IF(G29&gt;=VLOOKUP($AD29,$AO$28:$AP$31,2,0),"Yes","No")</f>
        <v>No</v>
      </c>
      <c r="AF29" s="38">
        <f t="shared" ref="AF29:AF32" si="12">IF(AE29="Yes",100,0)</f>
        <v>0</v>
      </c>
      <c r="AO29" s="106">
        <v>2</v>
      </c>
      <c r="AP29" s="105">
        <v>10.3</v>
      </c>
      <c r="AR29"/>
    </row>
    <row r="30" spans="1:102" ht="24" customHeight="1" x14ac:dyDescent="0.25">
      <c r="A30" s="178"/>
      <c r="B30" s="210">
        <v>3</v>
      </c>
      <c r="C30" s="205"/>
      <c r="D30" s="205"/>
      <c r="E30" s="189"/>
      <c r="F30" s="205"/>
      <c r="G30" s="205"/>
      <c r="H30" s="211">
        <f>VLOOKUP(AD30,$AO$28:$AP$31,2,0)</f>
        <v>11.3</v>
      </c>
      <c r="I30" s="211" t="str">
        <f t="shared" si="10"/>
        <v>Ineligible</v>
      </c>
      <c r="J30" s="196">
        <f>Table18[[#This Row],['# of Units]]*AF30*AC30/12000</f>
        <v>0</v>
      </c>
      <c r="K30" s="181"/>
      <c r="L30" s="181"/>
      <c r="M30" s="181"/>
      <c r="N30" s="181"/>
      <c r="O30" s="182"/>
      <c r="AC30" s="27">
        <f>IF(F30="Btuh",E30,IF(F30="tons",E30*12000,0))</f>
        <v>0</v>
      </c>
      <c r="AD30" s="38">
        <f t="shared" si="11"/>
        <v>1</v>
      </c>
      <c r="AE30" s="38" t="str">
        <f>IF(G30&gt;=VLOOKUP($AD30,$AO$28:$AP$31,2,0),"Yes","No")</f>
        <v>No</v>
      </c>
      <c r="AF30" s="38">
        <f t="shared" si="12"/>
        <v>0</v>
      </c>
      <c r="AO30" s="106">
        <v>3</v>
      </c>
      <c r="AP30" s="105">
        <v>9.5</v>
      </c>
      <c r="AR30" s="36" t="s">
        <v>180</v>
      </c>
      <c r="AS30" s="101" t="e">
        <f ca="1">MATCH(I21,INDIRECT(AH21),1)</f>
        <v>#N/A</v>
      </c>
    </row>
    <row r="31" spans="1:102" ht="24" customHeight="1" x14ac:dyDescent="0.25">
      <c r="A31" s="178"/>
      <c r="B31" s="212">
        <v>4</v>
      </c>
      <c r="C31" s="209"/>
      <c r="D31" s="209"/>
      <c r="E31" s="194"/>
      <c r="F31" s="209"/>
      <c r="G31" s="209"/>
      <c r="H31" s="211">
        <f>VLOOKUP(AD31,$AO$28:$AP$31,2,0)</f>
        <v>11.3</v>
      </c>
      <c r="I31" s="211" t="str">
        <f t="shared" si="10"/>
        <v>Ineligible</v>
      </c>
      <c r="J31" s="196">
        <f>Table18[[#This Row],['# of Units]]*AF31*AC31/12000</f>
        <v>0</v>
      </c>
      <c r="K31" s="181"/>
      <c r="L31" s="181"/>
      <c r="M31" s="181"/>
      <c r="N31" s="181"/>
      <c r="O31" s="182"/>
      <c r="AC31" s="27">
        <f>IF(F31="Btuh",E31,IF(F31="tons",E31*12000,0))</f>
        <v>0</v>
      </c>
      <c r="AD31" s="38">
        <f t="shared" si="11"/>
        <v>1</v>
      </c>
      <c r="AE31" s="38" t="str">
        <f>IF(G31&gt;=VLOOKUP($AD31,$AO$28:$AP$31,2,0),"Yes","No")</f>
        <v>No</v>
      </c>
      <c r="AF31" s="38">
        <f t="shared" si="12"/>
        <v>0</v>
      </c>
      <c r="AG31" s="2"/>
      <c r="AH31" s="2"/>
      <c r="AI31" s="2"/>
      <c r="AO31" s="104">
        <v>4</v>
      </c>
      <c r="AP31" s="105">
        <v>9.3000000000000007</v>
      </c>
      <c r="AR31" s="36" t="s">
        <v>181</v>
      </c>
      <c r="AS31" s="101" t="e">
        <f ca="1">MATCH(J21,INDIRECT(AI21),1)</f>
        <v>#N/A</v>
      </c>
    </row>
    <row r="32" spans="1:102" ht="24" customHeight="1" x14ac:dyDescent="0.25">
      <c r="A32" s="178"/>
      <c r="B32" s="210">
        <v>5</v>
      </c>
      <c r="C32" s="205"/>
      <c r="D32" s="205"/>
      <c r="E32" s="189"/>
      <c r="F32" s="205"/>
      <c r="G32" s="205"/>
      <c r="H32" s="211">
        <f>VLOOKUP(AD32,$AO$28:$AP$31,2,0)</f>
        <v>11.3</v>
      </c>
      <c r="I32" s="211" t="str">
        <f t="shared" si="10"/>
        <v>Ineligible</v>
      </c>
      <c r="J32" s="196">
        <f>Table18[[#This Row],['# of Units]]*AF32*AC32/12000</f>
        <v>0</v>
      </c>
      <c r="K32" s="181"/>
      <c r="L32" s="181"/>
      <c r="M32" s="181"/>
      <c r="N32" s="227"/>
      <c r="O32" s="182"/>
      <c r="AC32" s="27">
        <f>IF(F32="Btuh",E32,IF(F32="tons",E32*12000,0))</f>
        <v>0</v>
      </c>
      <c r="AD32" s="38">
        <f t="shared" si="11"/>
        <v>1</v>
      </c>
      <c r="AE32" s="38" t="str">
        <f>IF(G32&gt;=VLOOKUP($AD32,$AO$28:$AP$31,2,0),"Yes","No")</f>
        <v>No</v>
      </c>
      <c r="AF32" s="38">
        <f t="shared" si="12"/>
        <v>0</v>
      </c>
      <c r="AG32" s="29"/>
      <c r="AH32" s="29"/>
      <c r="AI32" s="29"/>
      <c r="AR32"/>
    </row>
    <row r="33" spans="1:45" ht="15" customHeight="1" x14ac:dyDescent="0.25">
      <c r="A33" s="178"/>
      <c r="B33" s="156"/>
      <c r="C33" s="142"/>
      <c r="D33" s="142"/>
      <c r="E33" s="142"/>
      <c r="F33" s="142"/>
      <c r="G33" s="142"/>
      <c r="H33" s="142"/>
      <c r="I33" s="142"/>
      <c r="J33" s="163">
        <f>SUBTOTAL(109,Table18[Rebate])</f>
        <v>0</v>
      </c>
      <c r="K33" s="181"/>
      <c r="L33" s="181"/>
      <c r="M33" s="181"/>
      <c r="N33" s="228"/>
      <c r="O33" s="182"/>
      <c r="AR33" s="36" t="s">
        <v>187</v>
      </c>
      <c r="AS33" s="101" t="e">
        <f ca="1">MATCH(I22,INDIRECT(AH22),1)</f>
        <v>#N/A</v>
      </c>
    </row>
    <row r="34" spans="1:45" ht="23.25" customHeight="1" thickBot="1" x14ac:dyDescent="0.3">
      <c r="A34" s="183"/>
      <c r="B34" s="184"/>
      <c r="C34" s="185"/>
      <c r="D34" s="185"/>
      <c r="E34" s="185"/>
      <c r="F34" s="185"/>
      <c r="G34" s="185"/>
      <c r="H34" s="185"/>
      <c r="I34" s="185"/>
      <c r="J34" s="185"/>
      <c r="K34" s="186"/>
      <c r="L34" s="186"/>
      <c r="M34" s="186"/>
      <c r="N34" s="186"/>
      <c r="O34" s="187"/>
      <c r="AR34" s="36" t="s">
        <v>188</v>
      </c>
      <c r="AS34" s="101" t="e">
        <f ca="1">MATCH(J22,INDIRECT(AI22),1)</f>
        <v>#N/A</v>
      </c>
    </row>
    <row r="35" spans="1:45" ht="23.25" customHeight="1" x14ac:dyDescent="0.2">
      <c r="AR35" s="1"/>
    </row>
    <row r="36" spans="1:45" ht="23.25" customHeight="1" x14ac:dyDescent="0.25">
      <c r="AR36" s="36" t="s">
        <v>189</v>
      </c>
      <c r="AS36" s="101" t="e">
        <f ca="1">MATCH(I23,INDIRECT(AH23),1)</f>
        <v>#N/A</v>
      </c>
    </row>
    <row r="37" spans="1:45" ht="23.25" customHeight="1" x14ac:dyDescent="0.3">
      <c r="L37" s="233" t="s">
        <v>306</v>
      </c>
      <c r="AR37" s="36" t="s">
        <v>190</v>
      </c>
      <c r="AS37" s="101" t="e">
        <f ca="1">MATCH(J23,INDIRECT(AI23),1)</f>
        <v>#N/A</v>
      </c>
    </row>
    <row r="61" spans="12:12" ht="20.25" x14ac:dyDescent="0.3">
      <c r="L61" s="233" t="s">
        <v>311</v>
      </c>
    </row>
  </sheetData>
  <sheetProtection algorithmName="SHA-512" hashValue="v2g2lPSbAZdYIU8WJFnYSI0wNdTi6gmLxfSBph/FaJ3y4lesO72CGcJpgcEQZ48GUjHZ6R0MsjGSZRpwnhK/sA==" saltValue="v3haqPpY635tiSNnv5sR8A==" spinCount="100000" sheet="1" selectLockedCells="1"/>
  <conditionalFormatting sqref="H28:H32">
    <cfRule type="expression" dxfId="328" priority="12">
      <formula>$G28=""</formula>
    </cfRule>
  </conditionalFormatting>
  <conditionalFormatting sqref="I28:I32">
    <cfRule type="expression" dxfId="327" priority="11">
      <formula>$G28=""</formula>
    </cfRule>
  </conditionalFormatting>
  <conditionalFormatting sqref="J28:J32">
    <cfRule type="expression" dxfId="326" priority="10">
      <formula>$G28=""</formula>
    </cfRule>
  </conditionalFormatting>
  <conditionalFormatting sqref="K19:M23">
    <cfRule type="expression" dxfId="325" priority="9">
      <formula>$J19=""</formula>
    </cfRule>
  </conditionalFormatting>
  <conditionalFormatting sqref="N19:N23">
    <cfRule type="expression" dxfId="324" priority="8">
      <formula>$J19=""</formula>
    </cfRule>
  </conditionalFormatting>
  <conditionalFormatting sqref="G19:G23">
    <cfRule type="expression" dxfId="323" priority="7">
      <formula>$AD19="One"</formula>
    </cfRule>
  </conditionalFormatting>
  <conditionalFormatting sqref="H19:H23">
    <cfRule type="expression" dxfId="322" priority="6">
      <formula>$AD19&lt;&gt;"One"</formula>
    </cfRule>
  </conditionalFormatting>
  <conditionalFormatting sqref="G19">
    <cfRule type="expression" dxfId="321" priority="5">
      <formula>$F$19=""</formula>
    </cfRule>
  </conditionalFormatting>
  <conditionalFormatting sqref="G21">
    <cfRule type="expression" dxfId="320" priority="4">
      <formula>$F$21=""</formula>
    </cfRule>
  </conditionalFormatting>
  <conditionalFormatting sqref="G23">
    <cfRule type="expression" dxfId="319" priority="3">
      <formula>$F$23=""</formula>
    </cfRule>
  </conditionalFormatting>
  <conditionalFormatting sqref="G20">
    <cfRule type="expression" dxfId="318" priority="2">
      <formula>$F$20=""</formula>
    </cfRule>
  </conditionalFormatting>
  <conditionalFormatting sqref="G22">
    <cfRule type="expression" dxfId="317" priority="1">
      <formula>$F$22=""</formula>
    </cfRule>
  </conditionalFormatting>
  <dataValidations count="4">
    <dataValidation type="list" allowBlank="1" showInputMessage="1" showErrorMessage="1" sqref="F28:F32" xr:uid="{00000000-0002-0000-0100-000000000000}">
      <formula1>HVAC_Units</formula1>
    </dataValidation>
    <dataValidation type="list" allowBlank="1" showInputMessage="1" showErrorMessage="1" sqref="F19:F23" xr:uid="{00000000-0002-0000-0100-000001000000}">
      <formula1>Units</formula1>
    </dataValidation>
    <dataValidation type="list" allowBlank="1" showInputMessage="1" showErrorMessage="1" sqref="G19:G23" xr:uid="{00000000-0002-0000-0100-000002000000}">
      <formula1>Heating_Section</formula1>
    </dataValidation>
    <dataValidation type="list" allowBlank="1" showInputMessage="1" showErrorMessage="1" sqref="H19:H23" xr:uid="{00000000-0002-0000-0100-000003000000}">
      <formula1>System_Type</formula1>
    </dataValidation>
  </dataValidations>
  <pageMargins left="0.7" right="0.7" top="0.75" bottom="0.75" header="0.3" footer="0.3"/>
  <pageSetup orientation="portrait" r:id="rId1"/>
  <drawing r:id="rId2"/>
  <picture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Y70"/>
  <sheetViews>
    <sheetView showGridLines="0" showRowColHeaders="0" topLeftCell="E49" zoomScaleNormal="100" workbookViewId="0">
      <selection activeCell="D3" sqref="D3:F3"/>
    </sheetView>
  </sheetViews>
  <sheetFormatPr defaultColWidth="9.140625" defaultRowHeight="12.75" x14ac:dyDescent="0.2"/>
  <cols>
    <col min="1" max="1" width="1.42578125" style="1" customWidth="1"/>
    <col min="2" max="2" width="6.7109375" style="26" customWidth="1"/>
    <col min="3" max="3" width="34.140625" style="2" customWidth="1"/>
    <col min="4" max="4" width="10.5703125" style="2" bestFit="1" customWidth="1"/>
    <col min="5" max="5" width="15.28515625" style="2" customWidth="1"/>
    <col min="6" max="6" width="15.7109375" style="2" customWidth="1"/>
    <col min="7" max="7" width="16.140625" style="2" customWidth="1"/>
    <col min="8" max="8" width="14.28515625" style="2" customWidth="1"/>
    <col min="9" max="9" width="21.7109375" style="2" customWidth="1"/>
    <col min="10" max="11" width="25.5703125" style="2" bestFit="1" customWidth="1"/>
    <col min="12" max="14" width="22.5703125" style="2" bestFit="1" customWidth="1"/>
    <col min="15" max="15" width="12.28515625" style="2" customWidth="1"/>
    <col min="16" max="27" width="12.7109375" style="29" customWidth="1"/>
    <col min="28" max="28" width="12.7109375" style="29" hidden="1" customWidth="1"/>
    <col min="29" max="29" width="34.140625" style="2" hidden="1" customWidth="1"/>
    <col min="30" max="31" width="19.28515625" style="2" hidden="1" customWidth="1"/>
    <col min="32" max="32" width="16.5703125" style="2" hidden="1" customWidth="1"/>
    <col min="33" max="33" width="15.42578125" style="2" hidden="1" customWidth="1"/>
    <col min="34" max="34" width="23.85546875" style="2" hidden="1" customWidth="1"/>
    <col min="35" max="35" width="23.7109375" style="1" hidden="1" customWidth="1"/>
    <col min="36" max="36" width="25" style="1" hidden="1" customWidth="1"/>
    <col min="37" max="38" width="22.85546875" style="1" hidden="1" customWidth="1"/>
    <col min="39" max="39" width="16.5703125" style="2" hidden="1" customWidth="1"/>
    <col min="40" max="40" width="21.85546875" style="2" hidden="1" customWidth="1"/>
    <col min="41" max="42" width="9.140625" style="1" hidden="1" customWidth="1"/>
    <col min="43" max="43" width="29.85546875" style="1" hidden="1" customWidth="1"/>
    <col min="44" max="47" width="9.140625" style="1" hidden="1" customWidth="1"/>
    <col min="48" max="48" width="17.85546875" style="1" hidden="1" customWidth="1"/>
    <col min="49" max="51" width="9.140625" style="1" hidden="1" customWidth="1"/>
    <col min="52" max="55" width="9.140625" style="1" customWidth="1"/>
    <col min="56" max="16384" width="9.140625" style="1"/>
  </cols>
  <sheetData>
    <row r="1" spans="1:50" ht="27" thickBot="1" x14ac:dyDescent="0.45">
      <c r="A1" s="21"/>
      <c r="B1" s="46" t="s">
        <v>147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75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29"/>
      <c r="AD1" s="29"/>
      <c r="AE1" s="29"/>
      <c r="AF1" s="29"/>
      <c r="AG1" s="29"/>
      <c r="AH1" s="29"/>
      <c r="AI1" s="10"/>
      <c r="AJ1" s="10"/>
      <c r="AK1" s="10"/>
      <c r="AL1" s="10"/>
      <c r="AM1" s="29"/>
    </row>
    <row r="2" spans="1:50" ht="15" x14ac:dyDescent="0.25">
      <c r="A2" s="17"/>
      <c r="B2" s="61"/>
      <c r="C2" s="45"/>
      <c r="D2" s="45"/>
      <c r="E2" s="45"/>
      <c r="F2" s="45"/>
      <c r="G2" s="45"/>
      <c r="H2" s="45"/>
      <c r="I2" s="45"/>
      <c r="J2" s="45"/>
      <c r="K2" s="45"/>
      <c r="L2" s="219"/>
      <c r="M2" s="219"/>
      <c r="N2" s="45"/>
      <c r="O2" s="51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Q2" s="43" t="s">
        <v>191</v>
      </c>
    </row>
    <row r="3" spans="1:50" ht="15.75" x14ac:dyDescent="0.25">
      <c r="A3" s="17"/>
      <c r="B3" s="20" t="s">
        <v>45</v>
      </c>
      <c r="C3" s="45"/>
      <c r="D3" s="45"/>
      <c r="E3" s="45"/>
      <c r="F3" s="45"/>
      <c r="G3" s="45"/>
      <c r="H3" s="45"/>
      <c r="I3" s="45"/>
      <c r="J3" s="45"/>
      <c r="K3" s="45"/>
      <c r="L3" s="219"/>
      <c r="M3" s="219"/>
      <c r="N3" s="45"/>
      <c r="O3" s="51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50" ht="15" x14ac:dyDescent="0.25">
      <c r="A4" s="17"/>
      <c r="B4" s="113" t="s">
        <v>209</v>
      </c>
      <c r="C4" s="45"/>
      <c r="D4" s="45"/>
      <c r="E4" s="45"/>
      <c r="F4" s="45"/>
      <c r="G4" s="45"/>
      <c r="H4" s="45"/>
      <c r="I4" s="45"/>
      <c r="J4" s="45"/>
      <c r="K4" s="45"/>
      <c r="L4" s="219"/>
      <c r="M4" s="219"/>
      <c r="N4" s="45"/>
      <c r="O4" s="51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Q4" s="1" t="s">
        <v>51</v>
      </c>
      <c r="AR4" s="25"/>
    </row>
    <row r="5" spans="1:50" ht="14.25" x14ac:dyDescent="0.2">
      <c r="A5" s="17"/>
      <c r="B5" s="113" t="s">
        <v>217</v>
      </c>
      <c r="C5" s="45"/>
      <c r="D5" s="45"/>
      <c r="E5" s="45"/>
      <c r="F5" s="45"/>
      <c r="G5" s="45"/>
      <c r="H5" s="45"/>
      <c r="I5" s="45"/>
      <c r="J5" s="45"/>
      <c r="K5" s="45"/>
      <c r="L5" s="219"/>
      <c r="M5" s="219"/>
      <c r="N5" s="45"/>
      <c r="O5" s="51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Q5" s="1" t="s">
        <v>152</v>
      </c>
    </row>
    <row r="6" spans="1:50" ht="14.25" x14ac:dyDescent="0.2">
      <c r="A6" s="17"/>
      <c r="B6" s="155" t="s">
        <v>218</v>
      </c>
      <c r="C6" s="45"/>
      <c r="D6" s="45"/>
      <c r="E6" s="45"/>
      <c r="F6" s="45"/>
      <c r="G6" s="45"/>
      <c r="H6" s="45"/>
      <c r="I6" s="45"/>
      <c r="J6" s="45"/>
      <c r="K6" s="45"/>
      <c r="L6" s="219"/>
      <c r="M6" s="219"/>
      <c r="N6" s="45"/>
      <c r="O6" s="51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Q6" s="1" t="s">
        <v>150</v>
      </c>
    </row>
    <row r="7" spans="1:50" ht="14.25" x14ac:dyDescent="0.2">
      <c r="A7" s="17"/>
      <c r="B7" s="155" t="s">
        <v>219</v>
      </c>
      <c r="C7" s="45"/>
      <c r="D7" s="45"/>
      <c r="E7" s="45"/>
      <c r="F7" s="45"/>
      <c r="G7" s="45"/>
      <c r="H7" s="45"/>
      <c r="I7" s="45"/>
      <c r="J7" s="45"/>
      <c r="K7" s="45"/>
      <c r="L7" s="219"/>
      <c r="M7" s="219"/>
      <c r="N7" s="45"/>
      <c r="O7" s="51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</row>
    <row r="8" spans="1:50" ht="15" x14ac:dyDescent="0.25">
      <c r="A8" s="17"/>
      <c r="B8" s="155" t="s">
        <v>220</v>
      </c>
      <c r="C8" s="62"/>
      <c r="D8" s="45"/>
      <c r="E8" s="45"/>
      <c r="F8" s="45"/>
      <c r="G8" s="45"/>
      <c r="H8" s="45"/>
      <c r="I8" s="45"/>
      <c r="J8" s="45"/>
      <c r="K8" s="45"/>
      <c r="L8" s="219"/>
      <c r="M8" s="219"/>
      <c r="N8" s="45"/>
      <c r="O8" s="51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</row>
    <row r="9" spans="1:50" ht="12.75" customHeight="1" x14ac:dyDescent="0.25">
      <c r="A9" s="17"/>
      <c r="B9" s="155" t="s">
        <v>210</v>
      </c>
      <c r="C9" s="45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O9" s="25"/>
      <c r="AP9" s="40"/>
      <c r="AQ9" s="40"/>
      <c r="AR9" s="40"/>
      <c r="AS9" s="40"/>
      <c r="AT9" s="40"/>
      <c r="AU9" s="40"/>
      <c r="AV9" s="40"/>
      <c r="AW9" s="40"/>
      <c r="AX9" s="40"/>
    </row>
    <row r="10" spans="1:50" ht="14.25" x14ac:dyDescent="0.2">
      <c r="A10" s="17"/>
      <c r="B10" s="155" t="s">
        <v>48</v>
      </c>
      <c r="C10" s="45"/>
      <c r="D10" s="45"/>
      <c r="E10" s="45"/>
      <c r="F10" s="45"/>
      <c r="G10" s="45"/>
      <c r="H10" s="45"/>
      <c r="I10" s="45"/>
      <c r="J10" s="45"/>
      <c r="K10" s="45"/>
      <c r="L10" s="219"/>
      <c r="M10" s="219"/>
      <c r="N10" s="15"/>
      <c r="O10" s="51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</row>
    <row r="11" spans="1:50" ht="15" x14ac:dyDescent="0.25">
      <c r="A11" s="17"/>
      <c r="B11" s="159" t="s">
        <v>307</v>
      </c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15"/>
      <c r="O11" s="51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</row>
    <row r="12" spans="1:50" ht="14.25" x14ac:dyDescent="0.2">
      <c r="A12" s="17"/>
      <c r="B12" s="159" t="s">
        <v>308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15"/>
      <c r="O12" s="51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</row>
    <row r="13" spans="1:50" ht="13.5" thickBot="1" x14ac:dyDescent="0.25">
      <c r="A13" s="17"/>
      <c r="B13" s="61"/>
      <c r="C13" s="45"/>
      <c r="D13" s="45"/>
      <c r="E13" s="45"/>
      <c r="F13" s="45"/>
      <c r="G13" s="45"/>
      <c r="H13" s="45"/>
      <c r="I13" s="45"/>
      <c r="J13" s="45"/>
      <c r="K13" s="45"/>
      <c r="L13" s="219"/>
      <c r="M13" s="219"/>
      <c r="N13" s="45"/>
      <c r="O13" s="51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Q13" s="1" t="s">
        <v>154</v>
      </c>
      <c r="AR13" s="1" t="s">
        <v>163</v>
      </c>
    </row>
    <row r="14" spans="1:50" ht="16.5" thickBot="1" x14ac:dyDescent="0.3">
      <c r="A14" s="17"/>
      <c r="B14" s="22" t="s">
        <v>39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7"/>
      <c r="O14" s="51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Q14" s="1" t="s">
        <v>140</v>
      </c>
      <c r="AR14" s="1" t="s">
        <v>164</v>
      </c>
    </row>
    <row r="15" spans="1:50" x14ac:dyDescent="0.2">
      <c r="A15" s="17"/>
      <c r="B15" s="61"/>
      <c r="C15" s="45"/>
      <c r="D15" s="45"/>
      <c r="E15" s="45"/>
      <c r="F15" s="45"/>
      <c r="G15" s="45"/>
      <c r="H15" s="45"/>
      <c r="I15" s="45"/>
      <c r="J15" s="45"/>
      <c r="K15" s="45"/>
      <c r="L15" s="219"/>
      <c r="M15" s="219"/>
      <c r="N15" s="45"/>
      <c r="O15" s="51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Q15" s="1" t="s">
        <v>141</v>
      </c>
      <c r="AR15" s="1" t="s">
        <v>165</v>
      </c>
    </row>
    <row r="16" spans="1:50" ht="15" x14ac:dyDescent="0.25">
      <c r="A16" s="17"/>
      <c r="B16" s="260" t="s">
        <v>148</v>
      </c>
      <c r="C16" s="261"/>
      <c r="D16" s="261" t="s">
        <v>151</v>
      </c>
      <c r="E16" s="261"/>
      <c r="F16" s="261"/>
      <c r="G16" s="261"/>
      <c r="H16" s="261"/>
      <c r="I16" s="261"/>
      <c r="J16" s="261"/>
      <c r="K16" s="261"/>
      <c r="L16" s="261"/>
      <c r="M16" s="261"/>
      <c r="N16" s="262"/>
      <c r="O16" s="51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35" t="s">
        <v>171</v>
      </c>
      <c r="AD16" s="35"/>
      <c r="AN16" s="29"/>
    </row>
    <row r="17" spans="1:49" ht="32.25" customHeight="1" x14ac:dyDescent="0.25">
      <c r="A17" s="17"/>
      <c r="B17" s="166" t="s">
        <v>143</v>
      </c>
      <c r="C17" s="166" t="s">
        <v>144</v>
      </c>
      <c r="D17" s="166" t="s">
        <v>145</v>
      </c>
      <c r="E17" s="166" t="s">
        <v>149</v>
      </c>
      <c r="F17" s="166" t="s">
        <v>206</v>
      </c>
      <c r="G17" s="166" t="s">
        <v>154</v>
      </c>
      <c r="H17" s="166" t="s">
        <v>142</v>
      </c>
      <c r="I17" s="166" t="s">
        <v>146</v>
      </c>
      <c r="J17" s="166" t="s">
        <v>153</v>
      </c>
      <c r="K17" s="166" t="s">
        <v>312</v>
      </c>
      <c r="L17" s="166" t="s">
        <v>309</v>
      </c>
      <c r="M17" s="166" t="s">
        <v>305</v>
      </c>
      <c r="N17" s="166" t="s">
        <v>299</v>
      </c>
      <c r="O17" s="51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13" t="s">
        <v>157</v>
      </c>
      <c r="AD17" s="13" t="s">
        <v>195</v>
      </c>
      <c r="AE17" s="13" t="s">
        <v>158</v>
      </c>
      <c r="AF17" s="13" t="s">
        <v>159</v>
      </c>
      <c r="AG17" s="13" t="s">
        <v>160</v>
      </c>
      <c r="AH17" s="13" t="s">
        <v>161</v>
      </c>
      <c r="AI17" s="13" t="s">
        <v>168</v>
      </c>
      <c r="AJ17" s="13" t="s">
        <v>169</v>
      </c>
      <c r="AK17" s="13" t="s">
        <v>167</v>
      </c>
      <c r="AL17" s="13" t="s">
        <v>290</v>
      </c>
      <c r="AM17" s="13" t="s">
        <v>117</v>
      </c>
      <c r="AN17" s="29"/>
      <c r="AQ17" s="1" t="s">
        <v>162</v>
      </c>
      <c r="AR17"/>
      <c r="AS17"/>
      <c r="AT17"/>
    </row>
    <row r="18" spans="1:49" ht="24" customHeight="1" x14ac:dyDescent="0.25">
      <c r="A18" s="17"/>
      <c r="B18" s="188">
        <v>1</v>
      </c>
      <c r="C18" s="189"/>
      <c r="D18" s="189"/>
      <c r="E18" s="189"/>
      <c r="F18" s="189"/>
      <c r="G18" s="189"/>
      <c r="H18" s="190"/>
      <c r="I18" s="190"/>
      <c r="J18" s="190"/>
      <c r="K18" s="191" t="e">
        <f t="shared" ref="K18:K22" si="0">IF(AC18*12000&gt;=65000,"Enter Valid Unit Size",IF(AG18="Ineligible","Ineligible","$"&amp;AL18&amp;"/ton"))</f>
        <v>#VALUE!</v>
      </c>
      <c r="L18" s="191" t="e">
        <f t="shared" ref="L18:L22" si="1">IF(AC18*12000&gt;=65000,"Enter Valid Unit Size",IF(AG18="Ineligible","Ineligible","$"&amp;AM18&amp;"/ton"))</f>
        <v>#VALUE!</v>
      </c>
      <c r="M18" s="207">
        <f t="shared" ref="M18:M22" ca="1" si="2">IF(ISNA(AL18),0,AL18*D18*AC18)</f>
        <v>0</v>
      </c>
      <c r="N18" s="192">
        <f ca="1">IF(ISNA(AM18),0,AM18*D18*AC18)</f>
        <v>0</v>
      </c>
      <c r="O18" s="51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25" t="str">
        <f>IF(F18="tons",E18,IF(F18="Btuh",E18/12000,"-"))</f>
        <v>-</v>
      </c>
      <c r="AD18" s="25" t="str">
        <f>IF(Table2[[#This Row],[System Type]]="","-",IF(Table2[[#This Row],[System Type]]="Split System",1,2))</f>
        <v>-</v>
      </c>
      <c r="AE18" s="2" t="e">
        <f ca="1">INDEX(INDIRECT(AK18),AW19,AW20)</f>
        <v>#N/A</v>
      </c>
      <c r="AF18" s="2" t="str">
        <f>IF(AND(AD18=1,J18&gt;=8.5,J18&lt;9),1,IF(AND(AD18=1,J18&gt;=9),2,IF(AND(AD18=2,J18&gt;=8.2),AE18,"Ineligible")))</f>
        <v>Ineligible</v>
      </c>
      <c r="AG18" s="2" t="e">
        <f ca="1">IF(OR(AE18="NA",AF18="Ineligible",AC18&gt;5.4),"Ineligible",MIN(AE18,AF18))</f>
        <v>#N/A</v>
      </c>
      <c r="AH18" s="2" t="e">
        <f>VLOOKUP(G18,$AQ$14:$AR$15,2,0)</f>
        <v>#N/A</v>
      </c>
      <c r="AI18" s="2" t="e">
        <f>AH18&amp;"_Less_than_65000_EER"</f>
        <v>#N/A</v>
      </c>
      <c r="AJ18" s="2" t="e">
        <f>AH18&amp;"_Less_than_65000_SEER"</f>
        <v>#N/A</v>
      </c>
      <c r="AK18" s="1" t="e">
        <f>AH18&amp;"_Less_than_65000"</f>
        <v>#N/A</v>
      </c>
      <c r="AL18" s="1" t="e">
        <f ca="1">IF(AG18=1,280,IF(AG18=2,300,0))</f>
        <v>#N/A</v>
      </c>
      <c r="AM18" s="2" t="e">
        <f ca="1">IF(AG18=1,80,IF(AG18=2,100,0))</f>
        <v>#N/A</v>
      </c>
      <c r="AN18" s="41"/>
      <c r="AR18" t="s">
        <v>142</v>
      </c>
      <c r="AS18"/>
      <c r="AT18"/>
    </row>
    <row r="19" spans="1:49" ht="24" customHeight="1" x14ac:dyDescent="0.25">
      <c r="A19" s="17"/>
      <c r="B19" s="193">
        <v>2</v>
      </c>
      <c r="C19" s="194"/>
      <c r="D19" s="194"/>
      <c r="E19" s="194"/>
      <c r="F19" s="194"/>
      <c r="G19" s="194"/>
      <c r="H19" s="195"/>
      <c r="I19" s="195"/>
      <c r="J19" s="195"/>
      <c r="K19" s="191" t="e">
        <f t="shared" si="0"/>
        <v>#VALUE!</v>
      </c>
      <c r="L19" s="191" t="e">
        <f t="shared" si="1"/>
        <v>#VALUE!</v>
      </c>
      <c r="M19" s="207">
        <f t="shared" ca="1" si="2"/>
        <v>0</v>
      </c>
      <c r="N19" s="192">
        <f t="shared" ref="N19:N22" ca="1" si="3">IF(ISNA(AM19),0,AM19*D19*AC19)</f>
        <v>0</v>
      </c>
      <c r="O19" s="51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42" t="str">
        <f>IF(F19="tons",E19,IF(F19="Btuh",E19/12000,"-"))</f>
        <v>-</v>
      </c>
      <c r="AD19" s="25" t="str">
        <f>IF(Table2[[#This Row],[System Type]]="","-",IF(Table2[[#This Row],[System Type]]="Split System",1,2))</f>
        <v>-</v>
      </c>
      <c r="AE19" s="29" t="e">
        <f ca="1">INDEX(INDIRECT(AK19),AW22,AW23)</f>
        <v>#N/A</v>
      </c>
      <c r="AF19" s="2" t="str">
        <f>IF(AND(AD19=1,J19&gt;=8.5,J19&lt;9),1,IF(AND(AD19=1,J19&gt;=9),2,IF(AND(AD19=2,J19&gt;=8.2),AE19,"Ineligible")))</f>
        <v>Ineligible</v>
      </c>
      <c r="AG19" s="29" t="e">
        <f t="shared" ref="AG19:AG22" ca="1" si="4">IF(OR(AE19="NA",AF19="Ineligible",AC19&gt;5.4),"Ineligible",MIN(AE19,AF19))</f>
        <v>#N/A</v>
      </c>
      <c r="AH19" s="29" t="e">
        <f>VLOOKUP(G19,$AQ$14:$AR$15,2,0)</f>
        <v>#N/A</v>
      </c>
      <c r="AI19" s="29" t="e">
        <f t="shared" ref="AI19:AI22" si="5">AH19&amp;"_Less_than_65000_EER"</f>
        <v>#N/A</v>
      </c>
      <c r="AJ19" s="29" t="e">
        <f t="shared" ref="AJ19:AJ22" si="6">AH19&amp;"_Less_than_65000_SEER"</f>
        <v>#N/A</v>
      </c>
      <c r="AK19" s="10" t="e">
        <f t="shared" ref="AK19:AK22" si="7">AH19&amp;"_Less_than_65000"</f>
        <v>#N/A</v>
      </c>
      <c r="AL19" s="1" t="e">
        <f t="shared" ref="AL19:AL22" ca="1" si="8">IF(AG19=1,280,IF(AG19=2,300,0))</f>
        <v>#N/A</v>
      </c>
      <c r="AM19" s="2" t="e">
        <f t="shared" ref="AM19:AM22" ca="1" si="9">IF(AG19=1,80,IF(AG19=2,100,0))</f>
        <v>#N/A</v>
      </c>
      <c r="AN19" s="41"/>
      <c r="AQ19" t="s">
        <v>146</v>
      </c>
      <c r="AR19" s="68">
        <v>0</v>
      </c>
      <c r="AS19" s="68">
        <v>15</v>
      </c>
      <c r="AT19" s="68">
        <v>16</v>
      </c>
      <c r="AV19" s="36" t="s">
        <v>176</v>
      </c>
      <c r="AW19" s="1" t="e">
        <f ca="1">MATCH(I18,INDIRECT(AI18),1)</f>
        <v>#N/A</v>
      </c>
    </row>
    <row r="20" spans="1:49" ht="24" customHeight="1" x14ac:dyDescent="0.25">
      <c r="A20" s="17"/>
      <c r="B20" s="188">
        <v>3</v>
      </c>
      <c r="C20" s="189"/>
      <c r="D20" s="189"/>
      <c r="E20" s="189"/>
      <c r="F20" s="189"/>
      <c r="G20" s="189"/>
      <c r="H20" s="190"/>
      <c r="I20" s="190"/>
      <c r="J20" s="190"/>
      <c r="K20" s="191" t="e">
        <f t="shared" si="0"/>
        <v>#VALUE!</v>
      </c>
      <c r="L20" s="191" t="e">
        <f t="shared" si="1"/>
        <v>#VALUE!</v>
      </c>
      <c r="M20" s="207">
        <f t="shared" ca="1" si="2"/>
        <v>0</v>
      </c>
      <c r="N20" s="192">
        <f t="shared" ca="1" si="3"/>
        <v>0</v>
      </c>
      <c r="O20" s="51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42" t="str">
        <f>IF(F20="tons",E20,IF(F20="Btuh",E20/12000,"-"))</f>
        <v>-</v>
      </c>
      <c r="AD20" s="25" t="str">
        <f>IF(Table2[[#This Row],[System Type]]="","-",IF(Table2[[#This Row],[System Type]]="Split System",1,2))</f>
        <v>-</v>
      </c>
      <c r="AE20" s="29" t="e">
        <f ca="1">INDEX(INDIRECT(AK20),AW25,AW26)</f>
        <v>#N/A</v>
      </c>
      <c r="AF20" s="2" t="str">
        <f>IF(AND(AD20=1,J20&gt;=8.5,J20&lt;9),1,IF(AND(AD20=1,J20&gt;=9),2,IF(AND(AD20=2,J20&gt;=8.2),AE20,"Ineligible")))</f>
        <v>Ineligible</v>
      </c>
      <c r="AG20" s="29" t="e">
        <f t="shared" ca="1" si="4"/>
        <v>#N/A</v>
      </c>
      <c r="AH20" s="29" t="e">
        <f>VLOOKUP(G20,$AQ$14:$AR$15,2,0)</f>
        <v>#N/A</v>
      </c>
      <c r="AI20" s="29" t="e">
        <f t="shared" si="5"/>
        <v>#N/A</v>
      </c>
      <c r="AJ20" s="29" t="e">
        <f t="shared" si="6"/>
        <v>#N/A</v>
      </c>
      <c r="AK20" s="10" t="e">
        <f t="shared" si="7"/>
        <v>#N/A</v>
      </c>
      <c r="AL20" s="1" t="e">
        <f t="shared" ca="1" si="8"/>
        <v>#N/A</v>
      </c>
      <c r="AM20" s="2" t="e">
        <f t="shared" ca="1" si="9"/>
        <v>#N/A</v>
      </c>
      <c r="AN20" s="41"/>
      <c r="AQ20" s="69">
        <v>0</v>
      </c>
      <c r="AR20" s="6" t="s">
        <v>155</v>
      </c>
      <c r="AS20" s="6" t="s">
        <v>155</v>
      </c>
      <c r="AT20" s="6" t="s">
        <v>155</v>
      </c>
      <c r="AV20" s="36" t="s">
        <v>177</v>
      </c>
      <c r="AW20" s="1" t="e">
        <f ca="1">MATCH(H18,INDIRECT(AJ18),1)</f>
        <v>#N/A</v>
      </c>
    </row>
    <row r="21" spans="1:49" ht="24" customHeight="1" x14ac:dyDescent="0.25">
      <c r="A21" s="17"/>
      <c r="B21" s="193">
        <v>4</v>
      </c>
      <c r="C21" s="194"/>
      <c r="D21" s="194"/>
      <c r="E21" s="194"/>
      <c r="F21" s="194"/>
      <c r="G21" s="194"/>
      <c r="H21" s="195"/>
      <c r="I21" s="195"/>
      <c r="J21" s="195"/>
      <c r="K21" s="191" t="e">
        <f t="shared" si="0"/>
        <v>#VALUE!</v>
      </c>
      <c r="L21" s="191" t="e">
        <f t="shared" si="1"/>
        <v>#VALUE!</v>
      </c>
      <c r="M21" s="207">
        <f t="shared" ca="1" si="2"/>
        <v>0</v>
      </c>
      <c r="N21" s="192">
        <f t="shared" ca="1" si="3"/>
        <v>0</v>
      </c>
      <c r="O21" s="51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42" t="str">
        <f>IF(F21="tons",E21,IF(F21="Btuh",E21/12000,"-"))</f>
        <v>-</v>
      </c>
      <c r="AD21" s="25" t="str">
        <f>IF(Table2[[#This Row],[System Type]]="","-",IF(Table2[[#This Row],[System Type]]="Split System",1,2))</f>
        <v>-</v>
      </c>
      <c r="AE21" s="29" t="e">
        <f ca="1">INDEX(INDIRECT(AK21),AW28,AW29)</f>
        <v>#N/A</v>
      </c>
      <c r="AF21" s="2" t="str">
        <f>IF(AND(AD21=1,J21&gt;=8.5,J21&lt;9),1,IF(AND(AD21=1,J21&gt;=9),2,IF(AND(AD21=2,J21&gt;=8.2),AE21,"Ineligible")))</f>
        <v>Ineligible</v>
      </c>
      <c r="AG21" s="29" t="e">
        <f t="shared" ca="1" si="4"/>
        <v>#N/A</v>
      </c>
      <c r="AH21" s="29" t="e">
        <f>VLOOKUP(G21,$AQ$14:$AR$15,2,0)</f>
        <v>#N/A</v>
      </c>
      <c r="AI21" s="10" t="e">
        <f t="shared" si="5"/>
        <v>#N/A</v>
      </c>
      <c r="AJ21" s="10" t="e">
        <f t="shared" si="6"/>
        <v>#N/A</v>
      </c>
      <c r="AK21" s="10" t="e">
        <f t="shared" si="7"/>
        <v>#N/A</v>
      </c>
      <c r="AL21" s="1" t="e">
        <f t="shared" ca="1" si="8"/>
        <v>#N/A</v>
      </c>
      <c r="AM21" s="2" t="e">
        <f t="shared" ca="1" si="9"/>
        <v>#N/A</v>
      </c>
      <c r="AN21" s="29"/>
      <c r="AQ21" s="69">
        <v>12.5</v>
      </c>
      <c r="AR21" s="6" t="s">
        <v>155</v>
      </c>
      <c r="AS21" s="6">
        <v>1</v>
      </c>
      <c r="AT21" s="6">
        <v>1</v>
      </c>
      <c r="AU21"/>
    </row>
    <row r="22" spans="1:49" ht="24" customHeight="1" x14ac:dyDescent="0.25">
      <c r="A22" s="17"/>
      <c r="B22" s="188">
        <v>5</v>
      </c>
      <c r="C22" s="189"/>
      <c r="D22" s="189"/>
      <c r="E22" s="189"/>
      <c r="F22" s="189"/>
      <c r="G22" s="189"/>
      <c r="H22" s="190"/>
      <c r="I22" s="190"/>
      <c r="J22" s="190"/>
      <c r="K22" s="191" t="e">
        <f t="shared" si="0"/>
        <v>#VALUE!</v>
      </c>
      <c r="L22" s="191" t="e">
        <f t="shared" si="1"/>
        <v>#VALUE!</v>
      </c>
      <c r="M22" s="207">
        <f t="shared" ca="1" si="2"/>
        <v>0</v>
      </c>
      <c r="N22" s="192">
        <f t="shared" ca="1" si="3"/>
        <v>0</v>
      </c>
      <c r="O22" s="51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42" t="str">
        <f>IF(F22="tons",E22,IF(F22="Btuh",E22/12000,"-"))</f>
        <v>-</v>
      </c>
      <c r="AD22" s="25" t="str">
        <f>IF(Table2[[#This Row],[System Type]]="","-",IF(Table2[[#This Row],[System Type]]="Split System",1,2))</f>
        <v>-</v>
      </c>
      <c r="AE22" s="29" t="e">
        <f ca="1">INDEX(INDIRECT(AK22),AW31,AW32)</f>
        <v>#N/A</v>
      </c>
      <c r="AF22" s="2" t="str">
        <f>IF(AND(AD22=1,J22&gt;=8.5,J22&lt;9),1,IF(AND(AD22=1,J22&gt;=9),2,IF(AND(AD22=2,J22&gt;=8.2),AE22,"Ineligible")))</f>
        <v>Ineligible</v>
      </c>
      <c r="AG22" s="29" t="e">
        <f t="shared" ca="1" si="4"/>
        <v>#N/A</v>
      </c>
      <c r="AH22" s="29" t="e">
        <f>VLOOKUP(G22,$AQ$14:$AR$15,2,0)</f>
        <v>#N/A</v>
      </c>
      <c r="AI22" s="10" t="e">
        <f t="shared" si="5"/>
        <v>#N/A</v>
      </c>
      <c r="AJ22" s="10" t="e">
        <f t="shared" si="6"/>
        <v>#N/A</v>
      </c>
      <c r="AK22" s="10" t="e">
        <f t="shared" si="7"/>
        <v>#N/A</v>
      </c>
      <c r="AL22" s="1" t="e">
        <f t="shared" ca="1" si="8"/>
        <v>#N/A</v>
      </c>
      <c r="AM22" s="2" t="e">
        <f t="shared" ca="1" si="9"/>
        <v>#N/A</v>
      </c>
      <c r="AN22" s="29"/>
      <c r="AQ22" s="69">
        <v>13</v>
      </c>
      <c r="AR22" s="6" t="s">
        <v>155</v>
      </c>
      <c r="AS22" s="6">
        <v>1</v>
      </c>
      <c r="AT22" s="6">
        <v>2</v>
      </c>
      <c r="AV22" s="36" t="s">
        <v>178</v>
      </c>
      <c r="AW22" s="1" t="e">
        <f ca="1">MATCH(I19,INDIRECT(AI19),1)</f>
        <v>#N/A</v>
      </c>
    </row>
    <row r="23" spans="1:49" ht="15" x14ac:dyDescent="0.25">
      <c r="A23" s="17"/>
      <c r="B23" s="156"/>
      <c r="C23" s="142"/>
      <c r="D23" s="157">
        <f>SUBTOTAL(109,Table2['# of Units])</f>
        <v>0</v>
      </c>
      <c r="E23" s="142"/>
      <c r="F23" s="142"/>
      <c r="G23" s="142"/>
      <c r="H23" s="142"/>
      <c r="I23" s="142"/>
      <c r="J23" s="142"/>
      <c r="K23" s="142"/>
      <c r="L23" s="142"/>
      <c r="M23" s="158">
        <f ca="1">SUBTOTAL(109,Table2[Accelerated Retirement Rebate])</f>
        <v>0</v>
      </c>
      <c r="N23" s="169">
        <f ca="1">SUBTOTAL(109,Table2[Natural Replacement Rebate])</f>
        <v>0</v>
      </c>
      <c r="O23" s="51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N23" s="29"/>
      <c r="AQ23" s="37"/>
      <c r="AR23" s="6"/>
      <c r="AS23" s="6"/>
      <c r="AT23" s="6"/>
      <c r="AV23" s="36" t="s">
        <v>179</v>
      </c>
      <c r="AW23" s="1" t="e">
        <f ca="1">MATCH(H19,INDIRECT(AJ19),1)</f>
        <v>#N/A</v>
      </c>
    </row>
    <row r="24" spans="1:49" ht="15" x14ac:dyDescent="0.25">
      <c r="A24" s="17"/>
      <c r="B24" s="61"/>
      <c r="C24" s="45"/>
      <c r="D24" s="45"/>
      <c r="E24" s="45"/>
      <c r="F24" s="45"/>
      <c r="G24" s="45"/>
      <c r="H24" s="45"/>
      <c r="I24" s="45"/>
      <c r="J24" s="45"/>
      <c r="K24" s="45"/>
      <c r="L24" s="219"/>
      <c r="M24" s="219"/>
      <c r="N24" s="45"/>
      <c r="O24" s="51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M24" s="1"/>
      <c r="AQ24" s="1" t="s">
        <v>170</v>
      </c>
      <c r="AT24"/>
      <c r="AU24"/>
      <c r="AV24"/>
    </row>
    <row r="25" spans="1:49" ht="15" x14ac:dyDescent="0.25">
      <c r="A25" s="17"/>
      <c r="B25" s="260" t="s">
        <v>148</v>
      </c>
      <c r="C25" s="261"/>
      <c r="D25" s="225" t="s">
        <v>192</v>
      </c>
      <c r="E25" s="221"/>
      <c r="F25" s="221"/>
      <c r="G25" s="221"/>
      <c r="H25" s="221"/>
      <c r="I25" s="221"/>
      <c r="J25" s="221"/>
      <c r="K25" s="221"/>
      <c r="L25" s="217"/>
      <c r="M25" s="218"/>
      <c r="N25" s="64"/>
      <c r="O25" s="51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35" t="s">
        <v>196</v>
      </c>
      <c r="AR25" t="s">
        <v>142</v>
      </c>
      <c r="AS25"/>
      <c r="AT25"/>
      <c r="AU25"/>
      <c r="AV25" s="36" t="s">
        <v>180</v>
      </c>
      <c r="AW25" s="1" t="e">
        <f ca="1">MATCH(I20,INDIRECT(AI20),1)</f>
        <v>#N/A</v>
      </c>
    </row>
    <row r="26" spans="1:49" ht="45" customHeight="1" thickBot="1" x14ac:dyDescent="0.3">
      <c r="A26" s="17"/>
      <c r="B26" s="166" t="s">
        <v>143</v>
      </c>
      <c r="C26" s="166" t="s">
        <v>144</v>
      </c>
      <c r="D26" s="166" t="s">
        <v>145</v>
      </c>
      <c r="E26" s="166" t="s">
        <v>149</v>
      </c>
      <c r="F26" s="166" t="s">
        <v>206</v>
      </c>
      <c r="G26" s="166" t="s">
        <v>146</v>
      </c>
      <c r="H26" s="166" t="s">
        <v>193</v>
      </c>
      <c r="I26" s="166" t="s">
        <v>194</v>
      </c>
      <c r="J26" s="166" t="s">
        <v>313</v>
      </c>
      <c r="K26" s="166" t="s">
        <v>304</v>
      </c>
      <c r="L26" s="166" t="s">
        <v>305</v>
      </c>
      <c r="M26" s="224" t="s">
        <v>299</v>
      </c>
      <c r="N26" s="45"/>
      <c r="O26" s="51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13" t="s">
        <v>197</v>
      </c>
      <c r="AD26" s="13" t="s">
        <v>198</v>
      </c>
      <c r="AE26" s="13" t="s">
        <v>203</v>
      </c>
      <c r="AF26" s="13" t="s">
        <v>204</v>
      </c>
      <c r="AG26" s="13" t="s">
        <v>205</v>
      </c>
      <c r="AH26" s="13" t="s">
        <v>207</v>
      </c>
      <c r="AI26" s="13" t="s">
        <v>117</v>
      </c>
      <c r="AJ26" s="13" t="s">
        <v>290</v>
      </c>
      <c r="AK26" s="2"/>
      <c r="AL26" s="2"/>
      <c r="AQ26" t="s">
        <v>146</v>
      </c>
      <c r="AR26" s="68">
        <v>0</v>
      </c>
      <c r="AS26" s="68">
        <v>15</v>
      </c>
      <c r="AT26" s="68">
        <v>16</v>
      </c>
      <c r="AU26"/>
      <c r="AV26" s="36" t="s">
        <v>181</v>
      </c>
      <c r="AW26" s="1" t="e">
        <f ca="1">MATCH(H20,INDIRECT(AJ20),1)</f>
        <v>#N/A</v>
      </c>
    </row>
    <row r="27" spans="1:49" ht="24" customHeight="1" thickTop="1" x14ac:dyDescent="0.25">
      <c r="A27" s="17"/>
      <c r="B27" s="188">
        <v>1</v>
      </c>
      <c r="C27" s="189"/>
      <c r="D27" s="189"/>
      <c r="E27" s="189"/>
      <c r="F27" s="189"/>
      <c r="G27" s="190"/>
      <c r="H27" s="190"/>
      <c r="I27" s="190"/>
      <c r="J27" s="191" t="str">
        <f t="shared" ref="J27:J31" si="10">IF(AH27="NA","Enter Valid Unit Size",IF(AH27="No","Ineligible","$"&amp;AJ27&amp;"/ton"))</f>
        <v>Enter Valid Unit Size</v>
      </c>
      <c r="K27" s="222" t="str">
        <f>IF(AH27="NA","Enter Valid Unit Size",IF(AH27="No","Ineligible","$"&amp;AI27&amp;"/ton"))</f>
        <v>Enter Valid Unit Size</v>
      </c>
      <c r="L27" s="223">
        <f>AJ27*Table16[[#This Row],['# of Units]]*AC27/12000</f>
        <v>0</v>
      </c>
      <c r="M27" s="220">
        <f>AI27*Table16[[#This Row],['# of Units]]*AC27/12000</f>
        <v>0</v>
      </c>
      <c r="N27" s="45"/>
      <c r="O27" s="51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2">
        <f>IF(F27="Btuh",E27,IF(F27="tons",E27*12000,0))</f>
        <v>0</v>
      </c>
      <c r="AD27" s="2" t="str">
        <f>IF(AND(AC27&gt;=65000,AC27&lt;135000),1,IF(AND(AC27&gt;=135000,AC27&lt;240000),2,IF(AND(AC27&gt;=240000,AC27&lt;760000),3,"Ineligible_Size")))</f>
        <v>Ineligible_Size</v>
      </c>
      <c r="AE27" s="2" t="e">
        <f>IF(G27&gt;=VLOOKUP($AD27,$AQ$39:$AT$41,2,0),"Yes","No")</f>
        <v>#N/A</v>
      </c>
      <c r="AF27" s="2" t="e">
        <f>IF(H27&gt;=VLOOKUP($AD27,$AQ$39:$AT$41,3,0),"Yes","No")</f>
        <v>#N/A</v>
      </c>
      <c r="AG27" s="2" t="e">
        <f>IF(I27&gt;=VLOOKUP($AD27,$AQ$39:$AT$41,4,0),"Yes","No")</f>
        <v>#N/A</v>
      </c>
      <c r="AH27" s="2" t="str">
        <f>IF(OR(ISNA(AE27),ISNA(AF27),ISNA(AG27)),"NA",IF(OR(AE27="No",AF27="No",AG27="No"),"No","Yes"))</f>
        <v>NA</v>
      </c>
      <c r="AI27" s="2">
        <f>IF(AH27="Yes",100,0)</f>
        <v>0</v>
      </c>
      <c r="AJ27" s="2">
        <f>IF(AH27="Yes",300,0)</f>
        <v>0</v>
      </c>
      <c r="AK27" s="2"/>
      <c r="AL27" s="2"/>
      <c r="AQ27" s="69">
        <v>0</v>
      </c>
      <c r="AR27" s="6" t="s">
        <v>155</v>
      </c>
      <c r="AS27" s="6" t="s">
        <v>155</v>
      </c>
      <c r="AT27" s="6" t="s">
        <v>155</v>
      </c>
      <c r="AU27"/>
      <c r="AV27"/>
    </row>
    <row r="28" spans="1:49" ht="24" customHeight="1" x14ac:dyDescent="0.25">
      <c r="A28" s="17"/>
      <c r="B28" s="193">
        <v>2</v>
      </c>
      <c r="C28" s="194"/>
      <c r="D28" s="194"/>
      <c r="E28" s="194"/>
      <c r="F28" s="194"/>
      <c r="G28" s="195"/>
      <c r="H28" s="195"/>
      <c r="I28" s="195"/>
      <c r="J28" s="191" t="str">
        <f t="shared" si="10"/>
        <v>Enter Valid Unit Size</v>
      </c>
      <c r="K28" s="222" t="str">
        <f t="shared" ref="K28:K31" si="11">IF(AH28="NA","Enter Valid Unit Size",IF(AH28="No","Ineligible","$"&amp;AI28&amp;"/ton"))</f>
        <v>Enter Valid Unit Size</v>
      </c>
      <c r="L28" s="223">
        <f>AJ28*Table16[[#This Row],['# of Units]]*AC28/12000</f>
        <v>0</v>
      </c>
      <c r="M28" s="220">
        <f>AI28*Table16[[#This Row],['# of Units]]*AC28/12000</f>
        <v>0</v>
      </c>
      <c r="N28" s="45"/>
      <c r="O28" s="51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2">
        <f>IF(F28="Btuh",E28,IF(F28="tons",E28*12000,0))</f>
        <v>0</v>
      </c>
      <c r="AD28" s="2" t="str">
        <f>IF(AND(AC28&gt;=65000,AC28&lt;135000),1,IF(AND(AC28&gt;=135000,AC28&lt;240000),2,IF(AND(AC28&gt;=240000,AC28&lt;760000),3,"Ineligible_Size")))</f>
        <v>Ineligible_Size</v>
      </c>
      <c r="AE28" s="2" t="e">
        <f>IF(G28&gt;=VLOOKUP($AD28,$AQ$39:$AT$41,2,0),"Yes","No")</f>
        <v>#N/A</v>
      </c>
      <c r="AF28" s="2" t="e">
        <f>IF(H28&gt;=VLOOKUP($AD28,$AQ$39:$AT$41,3,0),"Yes","No")</f>
        <v>#N/A</v>
      </c>
      <c r="AG28" s="2" t="e">
        <f>IF(I28&gt;=VLOOKUP($AD28,$AQ$39:$AT$41,4,0),"Yes","No")</f>
        <v>#N/A</v>
      </c>
      <c r="AH28" s="2" t="str">
        <f t="shared" ref="AH28:AH31" si="12">IF(OR(ISNA(AE28),ISNA(AF28),ISNA(AG28)),"NA",IF(OR(AE28="No",AF28="No",AG28="No"),"No","Yes"))</f>
        <v>NA</v>
      </c>
      <c r="AI28" s="2">
        <f t="shared" ref="AI28:AI31" si="13">IF(AH28="Yes",100,0)</f>
        <v>0</v>
      </c>
      <c r="AJ28" s="2">
        <f t="shared" ref="AJ28:AJ31" si="14">IF(AH28="Yes",300,0)</f>
        <v>0</v>
      </c>
      <c r="AK28" s="2"/>
      <c r="AL28" s="2"/>
      <c r="AQ28" s="69">
        <v>12</v>
      </c>
      <c r="AR28" s="6" t="s">
        <v>155</v>
      </c>
      <c r="AS28" s="6">
        <v>1</v>
      </c>
      <c r="AT28" s="6">
        <v>2</v>
      </c>
      <c r="AU28"/>
      <c r="AV28" s="36" t="s">
        <v>187</v>
      </c>
      <c r="AW28" s="1" t="e">
        <f ca="1">MATCH(I21,INDIRECT(AI21),1)</f>
        <v>#N/A</v>
      </c>
    </row>
    <row r="29" spans="1:49" ht="24" customHeight="1" x14ac:dyDescent="0.25">
      <c r="A29" s="17"/>
      <c r="B29" s="188">
        <v>3</v>
      </c>
      <c r="C29" s="189"/>
      <c r="D29" s="189"/>
      <c r="E29" s="189"/>
      <c r="F29" s="189"/>
      <c r="G29" s="190"/>
      <c r="H29" s="190"/>
      <c r="I29" s="190"/>
      <c r="J29" s="191" t="str">
        <f t="shared" si="10"/>
        <v>Enter Valid Unit Size</v>
      </c>
      <c r="K29" s="222" t="str">
        <f t="shared" si="11"/>
        <v>Enter Valid Unit Size</v>
      </c>
      <c r="L29" s="223">
        <f>AJ29*Table16[[#This Row],['# of Units]]*AC29/12000</f>
        <v>0</v>
      </c>
      <c r="M29" s="220">
        <f>AI29*Table16[[#This Row],['# of Units]]*AC29/12000</f>
        <v>0</v>
      </c>
      <c r="N29" s="45"/>
      <c r="O29" s="51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2">
        <f>IF(F29="Btuh",E29,IF(F29="tons",E29*12000,0))</f>
        <v>0</v>
      </c>
      <c r="AD29" s="2" t="str">
        <f>IF(AND(AC29&gt;=65000,AC29&lt;135000),1,IF(AND(AC29&gt;=135000,AC29&lt;240000),2,IF(AND(AC29&gt;=240000,AC29&lt;760000),3,"Ineligible_Size")))</f>
        <v>Ineligible_Size</v>
      </c>
      <c r="AE29" s="2" t="e">
        <f>IF(G29&gt;=VLOOKUP($AD29,$AQ$39:$AT$41,2,0),"Yes","No")</f>
        <v>#N/A</v>
      </c>
      <c r="AF29" s="2" t="e">
        <f>IF(H29&gt;=VLOOKUP($AD29,$AQ$39:$AT$41,3,0),"Yes","No")</f>
        <v>#N/A</v>
      </c>
      <c r="AG29" s="2" t="e">
        <f>IF(I29&gt;=VLOOKUP($AD29,$AQ$39:$AT$41,4,0),"Yes","No")</f>
        <v>#N/A</v>
      </c>
      <c r="AH29" s="2" t="str">
        <f t="shared" si="12"/>
        <v>NA</v>
      </c>
      <c r="AI29" s="2">
        <f t="shared" si="13"/>
        <v>0</v>
      </c>
      <c r="AJ29" s="2">
        <f t="shared" si="14"/>
        <v>0</v>
      </c>
      <c r="AK29" s="2"/>
      <c r="AL29" s="2"/>
      <c r="AT29"/>
      <c r="AV29" s="36" t="s">
        <v>188</v>
      </c>
      <c r="AW29" s="1" t="e">
        <f ca="1">MATCH(H21,INDIRECT(AJ21),1)</f>
        <v>#N/A</v>
      </c>
    </row>
    <row r="30" spans="1:49" ht="24" customHeight="1" x14ac:dyDescent="0.2">
      <c r="A30" s="17"/>
      <c r="B30" s="193">
        <v>4</v>
      </c>
      <c r="C30" s="194"/>
      <c r="D30" s="194"/>
      <c r="E30" s="194"/>
      <c r="F30" s="194"/>
      <c r="G30" s="195"/>
      <c r="H30" s="195"/>
      <c r="I30" s="195"/>
      <c r="J30" s="191" t="str">
        <f t="shared" si="10"/>
        <v>Enter Valid Unit Size</v>
      </c>
      <c r="K30" s="222" t="str">
        <f t="shared" si="11"/>
        <v>Enter Valid Unit Size</v>
      </c>
      <c r="L30" s="223">
        <f>AJ30*Table16[[#This Row],['# of Units]]*AC30/12000</f>
        <v>0</v>
      </c>
      <c r="M30" s="220">
        <f>AI30*Table16[[#This Row],['# of Units]]*AC30/12000</f>
        <v>0</v>
      </c>
      <c r="N30" s="45"/>
      <c r="O30" s="51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2">
        <f>IF(F30="Btuh",E30,IF(F30="tons",E30*12000,0))</f>
        <v>0</v>
      </c>
      <c r="AD30" s="2" t="str">
        <f>IF(AND(AC30&gt;=65000,AC30&lt;135000),1,IF(AND(AC30&gt;=135000,AC30&lt;240000),2,IF(AND(AC30&gt;=240000,AC30&lt;760000),3,"Ineligible_Size")))</f>
        <v>Ineligible_Size</v>
      </c>
      <c r="AE30" s="2" t="e">
        <f>IF(G30&gt;=VLOOKUP($AD30,$AQ$39:$AT$41,2,0),"Yes","No")</f>
        <v>#N/A</v>
      </c>
      <c r="AF30" s="2" t="e">
        <f>IF(H30&gt;=VLOOKUP($AD30,$AQ$39:$AT$41,3,0),"Yes","No")</f>
        <v>#N/A</v>
      </c>
      <c r="AG30" s="2" t="e">
        <f>IF(I30&gt;=VLOOKUP($AD30,$AQ$39:$AT$41,4,0),"Yes","No")</f>
        <v>#N/A</v>
      </c>
      <c r="AH30" s="2" t="str">
        <f t="shared" si="12"/>
        <v>NA</v>
      </c>
      <c r="AI30" s="2">
        <f t="shared" si="13"/>
        <v>0</v>
      </c>
      <c r="AJ30" s="2">
        <f t="shared" si="14"/>
        <v>0</v>
      </c>
      <c r="AK30" s="2"/>
      <c r="AL30" s="2"/>
    </row>
    <row r="31" spans="1:49" ht="24" customHeight="1" x14ac:dyDescent="0.25">
      <c r="A31" s="17"/>
      <c r="B31" s="188">
        <v>5</v>
      </c>
      <c r="C31" s="189"/>
      <c r="D31" s="189"/>
      <c r="E31" s="189"/>
      <c r="F31" s="189"/>
      <c r="G31" s="190"/>
      <c r="H31" s="190"/>
      <c r="I31" s="190"/>
      <c r="J31" s="191" t="str">
        <f t="shared" si="10"/>
        <v>Enter Valid Unit Size</v>
      </c>
      <c r="K31" s="222" t="str">
        <f t="shared" si="11"/>
        <v>Enter Valid Unit Size</v>
      </c>
      <c r="L31" s="223">
        <f>AJ31*Table16[[#This Row],['# of Units]]*AC31/12000</f>
        <v>0</v>
      </c>
      <c r="M31" s="220">
        <f>AI31*Table16[[#This Row],['# of Units]]*AC31/12000</f>
        <v>0</v>
      </c>
      <c r="N31" s="45"/>
      <c r="O31" s="51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2">
        <f>IF(F31="Btuh",E31,IF(F31="tons",E31*12000,0))</f>
        <v>0</v>
      </c>
      <c r="AD31" s="2" t="str">
        <f>IF(AND(AC31&gt;=65000,AC31&lt;135000),1,IF(AND(AC31&gt;=135000,AC31&lt;240000),2,IF(AND(AC31&gt;=240000,AC31&lt;760000),3,"Ineligible_Size")))</f>
        <v>Ineligible_Size</v>
      </c>
      <c r="AE31" s="2" t="e">
        <f>IF(G31&gt;=VLOOKUP($AD31,$AQ$39:$AT$41,2,0),"Yes","No")</f>
        <v>#N/A</v>
      </c>
      <c r="AF31" s="2" t="e">
        <f>IF(H31&gt;=VLOOKUP($AD31,$AQ$39:$AT$41,3,0),"Yes","No")</f>
        <v>#N/A</v>
      </c>
      <c r="AG31" s="2" t="e">
        <f>IF(I31&gt;=VLOOKUP($AD31,$AQ$39:$AT$41,4,0),"Yes","No")</f>
        <v>#N/A</v>
      </c>
      <c r="AH31" s="2" t="str">
        <f t="shared" si="12"/>
        <v>NA</v>
      </c>
      <c r="AI31" s="2">
        <f t="shared" si="13"/>
        <v>0</v>
      </c>
      <c r="AJ31" s="2">
        <f t="shared" si="14"/>
        <v>0</v>
      </c>
      <c r="AK31" s="2"/>
      <c r="AL31" s="2"/>
      <c r="AV31" s="36" t="s">
        <v>189</v>
      </c>
      <c r="AW31" s="1" t="e">
        <f ca="1">MATCH(I22,INDIRECT(AI22),1)</f>
        <v>#N/A</v>
      </c>
    </row>
    <row r="32" spans="1:49" ht="15" customHeight="1" x14ac:dyDescent="0.25">
      <c r="A32" s="17"/>
      <c r="B32" s="156"/>
      <c r="C32" s="142"/>
      <c r="D32" s="157">
        <f>SUBTOTAL(109,Table16['# of Units])</f>
        <v>0</v>
      </c>
      <c r="E32" s="142"/>
      <c r="F32" s="142"/>
      <c r="G32" s="142"/>
      <c r="H32" s="142"/>
      <c r="I32" s="142"/>
      <c r="J32" s="142"/>
      <c r="K32" s="158"/>
      <c r="L32" s="158">
        <f>SUBTOTAL(109,Table16[Accelerated Retirement Rebate])</f>
        <v>0</v>
      </c>
      <c r="M32" s="158">
        <f>SUBTOTAL(109,Table16[Natural Replacement Rebate])</f>
        <v>0</v>
      </c>
      <c r="N32" s="45"/>
      <c r="O32" s="51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H32" s="1"/>
      <c r="AK32" s="2"/>
      <c r="AL32" s="2"/>
      <c r="AV32" s="36" t="s">
        <v>190</v>
      </c>
      <c r="AW32" s="1" t="e">
        <f ca="1">MATCH(H22,INDIRECT(AJ22),1)</f>
        <v>#N/A</v>
      </c>
    </row>
    <row r="33" spans="1:50" ht="15" customHeight="1" x14ac:dyDescent="0.2">
      <c r="A33" s="17"/>
      <c r="B33" s="61"/>
      <c r="C33" s="45"/>
      <c r="D33" s="45"/>
      <c r="E33" s="45"/>
      <c r="F33" s="45"/>
      <c r="G33" s="45"/>
      <c r="H33" s="45"/>
      <c r="I33" s="45"/>
      <c r="J33" s="45"/>
      <c r="K33" s="45"/>
      <c r="L33" s="219"/>
      <c r="M33" s="219"/>
      <c r="N33" s="45"/>
      <c r="O33" s="51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</row>
    <row r="34" spans="1:50" ht="15" customHeight="1" x14ac:dyDescent="0.25">
      <c r="A34" s="17"/>
      <c r="B34" s="260" t="s">
        <v>208</v>
      </c>
      <c r="C34" s="261"/>
      <c r="D34" s="261"/>
      <c r="E34" s="261"/>
      <c r="F34" s="261"/>
      <c r="G34" s="261"/>
      <c r="H34" s="261"/>
      <c r="I34" s="262"/>
      <c r="J34" s="61"/>
      <c r="K34" s="61"/>
      <c r="L34" s="61"/>
      <c r="M34" s="61"/>
      <c r="N34" s="45"/>
      <c r="O34" s="51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35" t="s">
        <v>208</v>
      </c>
      <c r="AP34" s="40"/>
      <c r="AQ34" s="40"/>
      <c r="AR34" s="40"/>
      <c r="AS34" s="40"/>
      <c r="AT34" s="40"/>
      <c r="AU34" s="40"/>
      <c r="AV34" s="40"/>
      <c r="AW34" s="40"/>
      <c r="AX34" s="40"/>
    </row>
    <row r="35" spans="1:50" ht="32.25" customHeight="1" x14ac:dyDescent="0.2">
      <c r="A35" s="17"/>
      <c r="B35" s="166" t="s">
        <v>143</v>
      </c>
      <c r="C35" s="166" t="s">
        <v>144</v>
      </c>
      <c r="D35" s="166" t="s">
        <v>145</v>
      </c>
      <c r="E35" s="166" t="s">
        <v>149</v>
      </c>
      <c r="F35" s="166" t="s">
        <v>206</v>
      </c>
      <c r="G35" s="166" t="s">
        <v>146</v>
      </c>
      <c r="H35" s="166" t="s">
        <v>156</v>
      </c>
      <c r="I35" s="166" t="s">
        <v>182</v>
      </c>
      <c r="J35" s="61"/>
      <c r="K35" s="61"/>
      <c r="L35" s="61"/>
      <c r="M35" s="61"/>
      <c r="N35" s="45"/>
      <c r="O35" s="51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13" t="s">
        <v>197</v>
      </c>
      <c r="AD35" s="13" t="s">
        <v>198</v>
      </c>
      <c r="AE35" s="13" t="s">
        <v>203</v>
      </c>
      <c r="AF35" s="13" t="s">
        <v>117</v>
      </c>
    </row>
    <row r="36" spans="1:50" ht="24" customHeight="1" x14ac:dyDescent="0.25">
      <c r="A36" s="17"/>
      <c r="B36" s="188">
        <v>1</v>
      </c>
      <c r="C36" s="197"/>
      <c r="D36" s="197"/>
      <c r="E36" s="197"/>
      <c r="F36" s="197"/>
      <c r="G36" s="198"/>
      <c r="H36" s="199" t="str">
        <f t="shared" ref="H36:H40" si="15">IF(AE36="No","Ineligible","$"&amp;AF36&amp;"/ton")</f>
        <v>Ineligible</v>
      </c>
      <c r="I36" s="200">
        <f>AF36*Table17[[#This Row],['# of Units]]*AC36/12000</f>
        <v>0</v>
      </c>
      <c r="J36" s="61"/>
      <c r="K36" s="61"/>
      <c r="L36" s="61"/>
      <c r="M36" s="61"/>
      <c r="N36" s="45"/>
      <c r="O36" s="51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2">
        <f>IF(F36="Btuh",E36,IF(F36="tons",E36*12000,0))</f>
        <v>0</v>
      </c>
      <c r="AD36" s="2">
        <f>IF(AC36&lt;7000,1,IF(AND(AC36&gt;=7000,AC36&lt;=11000),2,IF(AND(AC36&gt;11000,AC36&lt;=15000),3,4)))</f>
        <v>1</v>
      </c>
      <c r="AE36" s="2" t="str">
        <f>IF(G36&gt;=VLOOKUP($AD36,$AQ$48:$AR$51,2,0),"Yes","No")</f>
        <v>No</v>
      </c>
      <c r="AF36" s="2">
        <f>IF(AE36="Yes",100,0)</f>
        <v>0</v>
      </c>
      <c r="AO36" s="2"/>
      <c r="AQ36" s="35" t="s">
        <v>196</v>
      </c>
    </row>
    <row r="37" spans="1:50" ht="24" customHeight="1" x14ac:dyDescent="0.2">
      <c r="A37" s="17"/>
      <c r="B37" s="193">
        <v>2</v>
      </c>
      <c r="C37" s="201"/>
      <c r="D37" s="201"/>
      <c r="E37" s="201"/>
      <c r="F37" s="201"/>
      <c r="G37" s="202"/>
      <c r="H37" s="199" t="str">
        <f t="shared" si="15"/>
        <v>Ineligible</v>
      </c>
      <c r="I37" s="200">
        <f>AF37*Table17[[#This Row],['# of Units]]*AC37/12000</f>
        <v>0</v>
      </c>
      <c r="J37" s="61"/>
      <c r="K37" s="61"/>
      <c r="L37" s="61"/>
      <c r="M37" s="61"/>
      <c r="N37" s="45"/>
      <c r="O37" s="51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2">
        <f>IF(F37="Btuh",E37,IF(F37="tons",E37*12000,0))</f>
        <v>0</v>
      </c>
      <c r="AD37" s="2">
        <f t="shared" ref="AD37:AD40" si="16">IF(AC37&lt;7000,1,IF(AND(AC37&gt;=7000,AC37&lt;=11000),2,IF(AND(AC37&gt;11000,AC37&lt;=15000),3,4)))</f>
        <v>1</v>
      </c>
      <c r="AE37" s="2" t="str">
        <f>IF(G37&gt;=VLOOKUP($AD37,$AQ$48:$AR$51,2,0),"Yes","No")</f>
        <v>No</v>
      </c>
      <c r="AF37" s="2">
        <f t="shared" ref="AF37:AF40" si="17">IF(AE37="Yes",100,0)</f>
        <v>0</v>
      </c>
      <c r="AQ37" s="10"/>
      <c r="AR37" s="10"/>
      <c r="AS37" s="10"/>
      <c r="AT37" s="10"/>
      <c r="AU37" s="10"/>
      <c r="AV37" s="10"/>
      <c r="AW37" s="10"/>
    </row>
    <row r="38" spans="1:50" ht="24" customHeight="1" x14ac:dyDescent="0.25">
      <c r="A38" s="17"/>
      <c r="B38" s="188">
        <v>3</v>
      </c>
      <c r="C38" s="197"/>
      <c r="D38" s="197"/>
      <c r="E38" s="197"/>
      <c r="F38" s="197"/>
      <c r="G38" s="203"/>
      <c r="H38" s="199" t="str">
        <f t="shared" si="15"/>
        <v>Ineligible</v>
      </c>
      <c r="I38" s="200">
        <f>AF38*Table17[[#This Row],['# of Units]]*AC38/12000</f>
        <v>0</v>
      </c>
      <c r="J38" s="61"/>
      <c r="K38" s="61"/>
      <c r="L38" s="61"/>
      <c r="M38" s="61"/>
      <c r="N38" s="45"/>
      <c r="O38" s="51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2">
        <f>IF(F38="Btuh",E38,IF(F38="tons",E38*12000,0))</f>
        <v>0</v>
      </c>
      <c r="AD38" s="2">
        <f t="shared" si="16"/>
        <v>1</v>
      </c>
      <c r="AE38" s="2" t="str">
        <f>IF(G38&gt;=VLOOKUP($AD38,$AQ$48:$AR$51,2,0),"Yes","No")</f>
        <v>No</v>
      </c>
      <c r="AF38" s="2">
        <f t="shared" si="17"/>
        <v>0</v>
      </c>
      <c r="AQ38" s="10" t="s">
        <v>199</v>
      </c>
      <c r="AR38" s="44" t="s">
        <v>200</v>
      </c>
      <c r="AS38" s="44" t="s">
        <v>201</v>
      </c>
      <c r="AT38" s="44" t="s">
        <v>202</v>
      </c>
      <c r="AU38" s="10"/>
      <c r="AV38" s="37"/>
      <c r="AW38" s="10"/>
    </row>
    <row r="39" spans="1:50" ht="24" customHeight="1" x14ac:dyDescent="0.25">
      <c r="A39" s="17"/>
      <c r="B39" s="193">
        <v>4</v>
      </c>
      <c r="C39" s="201"/>
      <c r="D39" s="201"/>
      <c r="E39" s="201"/>
      <c r="F39" s="201"/>
      <c r="G39" s="202"/>
      <c r="H39" s="199" t="str">
        <f t="shared" si="15"/>
        <v>Ineligible</v>
      </c>
      <c r="I39" s="200">
        <f>AF39*Table17[[#This Row],['# of Units]]*AC39/12000</f>
        <v>0</v>
      </c>
      <c r="J39" s="61"/>
      <c r="K39" s="61"/>
      <c r="L39" s="61"/>
      <c r="M39" s="61"/>
      <c r="N39" s="45"/>
      <c r="O39" s="51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2">
        <f>IF(F39="Btuh",E39,IF(F39="tons",E39*12000,0))</f>
        <v>0</v>
      </c>
      <c r="AD39" s="2">
        <f t="shared" si="16"/>
        <v>1</v>
      </c>
      <c r="AE39" s="2" t="str">
        <f>IF(G39&gt;=VLOOKUP($AD39,$AQ$48:$AR$51,2,0),"Yes","No")</f>
        <v>No</v>
      </c>
      <c r="AF39" s="2">
        <f t="shared" si="17"/>
        <v>0</v>
      </c>
      <c r="AQ39" s="37">
        <v>1</v>
      </c>
      <c r="AR39" s="44">
        <v>11.6</v>
      </c>
      <c r="AS39" s="44">
        <v>13.4</v>
      </c>
      <c r="AT39" s="44">
        <v>3.4</v>
      </c>
      <c r="AU39" s="10"/>
      <c r="AV39" s="37"/>
      <c r="AW39" s="10"/>
    </row>
    <row r="40" spans="1:50" ht="24" customHeight="1" x14ac:dyDescent="0.25">
      <c r="A40" s="17"/>
      <c r="B40" s="188">
        <v>5</v>
      </c>
      <c r="C40" s="197"/>
      <c r="D40" s="197"/>
      <c r="E40" s="197"/>
      <c r="F40" s="197"/>
      <c r="G40" s="203"/>
      <c r="H40" s="199" t="str">
        <f t="shared" si="15"/>
        <v>Ineligible</v>
      </c>
      <c r="I40" s="200">
        <f>AF40*Table17[[#This Row],['# of Units]]*AC40/12000</f>
        <v>0</v>
      </c>
      <c r="J40" s="61"/>
      <c r="K40" s="234"/>
      <c r="L40" s="234"/>
      <c r="M40" s="234"/>
      <c r="N40" s="227"/>
      <c r="O40" s="51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2">
        <f>IF(F40="Btuh",E40,IF(F40="tons",E40*12000,0))</f>
        <v>0</v>
      </c>
      <c r="AD40" s="2">
        <f t="shared" si="16"/>
        <v>1</v>
      </c>
      <c r="AE40" s="2" t="str">
        <f>IF(G40&gt;=VLOOKUP($AD40,$AQ$48:$AR$51,2,0),"Yes","No")</f>
        <v>No</v>
      </c>
      <c r="AF40" s="2">
        <f t="shared" si="17"/>
        <v>0</v>
      </c>
      <c r="AQ40" s="37">
        <v>2</v>
      </c>
      <c r="AR40" s="44">
        <v>10.7</v>
      </c>
      <c r="AS40" s="44">
        <v>12.6</v>
      </c>
      <c r="AT40" s="44">
        <v>3.2</v>
      </c>
      <c r="AU40" s="10"/>
      <c r="AV40" s="10"/>
      <c r="AW40" s="10"/>
    </row>
    <row r="41" spans="1:50" ht="15" x14ac:dyDescent="0.25">
      <c r="A41" s="17"/>
      <c r="B41" s="156"/>
      <c r="C41" s="142"/>
      <c r="D41" s="157">
        <f>SUBTOTAL(109,Table17['# of Units])</f>
        <v>0</v>
      </c>
      <c r="E41" s="142"/>
      <c r="F41" s="142"/>
      <c r="G41" s="142"/>
      <c r="H41" s="142"/>
      <c r="I41" s="169">
        <f>SUBTOTAL(109,Table17[Rebate])</f>
        <v>0</v>
      </c>
      <c r="J41" s="61"/>
      <c r="K41" s="234"/>
      <c r="L41" s="234"/>
      <c r="M41" s="234"/>
      <c r="N41" s="228"/>
      <c r="O41" s="51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Q41" s="37">
        <v>3</v>
      </c>
      <c r="AR41" s="44">
        <v>10.1</v>
      </c>
      <c r="AS41" s="44">
        <v>11.6</v>
      </c>
      <c r="AT41" s="44">
        <v>3.2</v>
      </c>
      <c r="AU41" s="10"/>
      <c r="AV41" s="37"/>
      <c r="AW41" s="10"/>
    </row>
    <row r="42" spans="1:50" ht="15" x14ac:dyDescent="0.25">
      <c r="A42" s="17"/>
      <c r="B42" s="61"/>
      <c r="C42" s="45"/>
      <c r="D42" s="45"/>
      <c r="E42" s="45"/>
      <c r="F42" s="45"/>
      <c r="G42" s="45"/>
      <c r="H42" s="45"/>
      <c r="I42" s="45"/>
      <c r="J42" s="61"/>
      <c r="K42" s="234"/>
      <c r="L42" s="234"/>
      <c r="M42" s="234"/>
      <c r="N42" s="45"/>
      <c r="O42" s="51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Q42" s="10"/>
      <c r="AR42" s="10"/>
      <c r="AS42" s="10"/>
      <c r="AT42" s="10"/>
      <c r="AU42" s="10"/>
      <c r="AV42" s="37"/>
      <c r="AW42" s="10"/>
    </row>
    <row r="43" spans="1:50" ht="13.5" thickBot="1" x14ac:dyDescent="0.25">
      <c r="A43" s="19"/>
      <c r="B43" s="67"/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  <c r="N43" s="65"/>
      <c r="O43" s="66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P43" s="40"/>
      <c r="AQ43" s="40"/>
      <c r="AR43" s="40"/>
      <c r="AS43" s="40"/>
      <c r="AT43" s="40"/>
      <c r="AU43" s="40"/>
      <c r="AV43" s="40"/>
      <c r="AW43" s="40"/>
      <c r="AX43" s="40"/>
    </row>
    <row r="44" spans="1:50" ht="15" x14ac:dyDescent="0.25">
      <c r="J44" s="48"/>
      <c r="K44" s="48"/>
      <c r="L44" s="48"/>
      <c r="M44" s="48"/>
      <c r="N44" s="29"/>
      <c r="O44" s="29"/>
      <c r="AQ44" s="10"/>
      <c r="AR44" s="10"/>
      <c r="AS44" s="10"/>
      <c r="AT44" s="10"/>
      <c r="AU44" s="10"/>
      <c r="AV44" s="37"/>
      <c r="AW44" s="10"/>
    </row>
    <row r="45" spans="1:50" ht="15" x14ac:dyDescent="0.25">
      <c r="AQ45" s="35" t="s">
        <v>208</v>
      </c>
      <c r="AR45" s="10"/>
      <c r="AS45" s="10"/>
      <c r="AT45" s="10"/>
      <c r="AU45" s="10"/>
      <c r="AV45" s="37"/>
      <c r="AW45" s="10"/>
    </row>
    <row r="46" spans="1:50" ht="15" x14ac:dyDescent="0.25">
      <c r="AQ46" s="10"/>
      <c r="AR46" s="10"/>
      <c r="AS46" s="10"/>
      <c r="AT46" s="10"/>
      <c r="AU46" s="10"/>
      <c r="AV46" s="37"/>
      <c r="AW46" s="10"/>
    </row>
    <row r="47" spans="1:50" ht="15" x14ac:dyDescent="0.25">
      <c r="AQ47" s="10" t="s">
        <v>199</v>
      </c>
      <c r="AR47" s="44" t="s">
        <v>200</v>
      </c>
      <c r="AS47" s="10"/>
      <c r="AT47" s="10"/>
      <c r="AU47" s="10"/>
      <c r="AV47" s="37"/>
      <c r="AW47" s="10"/>
    </row>
    <row r="48" spans="1:50" ht="15" x14ac:dyDescent="0.25">
      <c r="AQ48" s="37">
        <v>1</v>
      </c>
      <c r="AR48" s="44">
        <v>11.2</v>
      </c>
      <c r="AS48" s="10"/>
      <c r="AT48" s="10"/>
      <c r="AU48" s="10"/>
      <c r="AV48" s="37"/>
      <c r="AW48" s="10"/>
    </row>
    <row r="49" spans="11:49" ht="20.25" x14ac:dyDescent="0.3">
      <c r="K49" s="235" t="s">
        <v>310</v>
      </c>
      <c r="AQ49" s="37">
        <v>2</v>
      </c>
      <c r="AR49" s="44">
        <v>10.199999999999999</v>
      </c>
      <c r="AS49" s="10"/>
      <c r="AT49" s="10"/>
      <c r="AU49" s="10"/>
      <c r="AV49" s="10"/>
      <c r="AW49" s="10"/>
    </row>
    <row r="50" spans="11:49" ht="15" x14ac:dyDescent="0.25">
      <c r="AQ50" s="37">
        <v>3</v>
      </c>
      <c r="AR50" s="44">
        <v>9.5</v>
      </c>
      <c r="AS50" s="10"/>
      <c r="AT50" s="10"/>
      <c r="AU50" s="10"/>
      <c r="AV50" s="37"/>
      <c r="AW50" s="10"/>
    </row>
    <row r="51" spans="11:49" ht="15" x14ac:dyDescent="0.25">
      <c r="AQ51" s="10">
        <v>4</v>
      </c>
      <c r="AR51" s="44">
        <v>9.1</v>
      </c>
      <c r="AS51" s="10"/>
      <c r="AT51" s="10"/>
      <c r="AU51" s="10"/>
      <c r="AV51" s="37"/>
      <c r="AW51" s="10"/>
    </row>
    <row r="52" spans="11:49" x14ac:dyDescent="0.2">
      <c r="AQ52" s="10"/>
      <c r="AR52" s="10"/>
      <c r="AS52" s="10"/>
      <c r="AT52" s="10"/>
      <c r="AU52" s="10"/>
      <c r="AV52" s="10"/>
      <c r="AW52" s="10"/>
    </row>
    <row r="70" spans="11:11" ht="20.25" x14ac:dyDescent="0.3">
      <c r="K70" s="235" t="s">
        <v>315</v>
      </c>
    </row>
  </sheetData>
  <sheetProtection algorithmName="SHA-512" hashValue="uuuNHmiYG0CV3knGeI3hitIPZkbzZoc1gSF5vraEWGGRDVkvrvq+IlYdYfQ+Vz/AW2/j8/1oDYdilTHAD/LDNg==" saltValue="/VSJc1k7qUXJfgw3MXfYYQ==" spinCount="100000" sheet="1" selectLockedCells="1"/>
  <mergeCells count="4">
    <mergeCell ref="B16:C16"/>
    <mergeCell ref="D16:N16"/>
    <mergeCell ref="B25:C25"/>
    <mergeCell ref="B34:I34"/>
  </mergeCells>
  <conditionalFormatting sqref="K18:M22">
    <cfRule type="expression" dxfId="264" priority="10">
      <formula>$J18=""</formula>
    </cfRule>
  </conditionalFormatting>
  <conditionalFormatting sqref="N18:N22">
    <cfRule type="expression" dxfId="263" priority="9">
      <formula>$J18=""</formula>
    </cfRule>
  </conditionalFormatting>
  <conditionalFormatting sqref="J27:J31">
    <cfRule type="expression" dxfId="262" priority="8">
      <formula>$I27=""</formula>
    </cfRule>
  </conditionalFormatting>
  <conditionalFormatting sqref="K27:K31">
    <cfRule type="expression" dxfId="261" priority="7">
      <formula>$I27=""</formula>
    </cfRule>
  </conditionalFormatting>
  <conditionalFormatting sqref="E18:E22">
    <cfRule type="expression" dxfId="260" priority="6">
      <formula>$F18="tons"</formula>
    </cfRule>
  </conditionalFormatting>
  <conditionalFormatting sqref="E27:E31">
    <cfRule type="expression" dxfId="259" priority="5">
      <formula>$F27="tons"</formula>
    </cfRule>
  </conditionalFormatting>
  <conditionalFormatting sqref="H36:H40">
    <cfRule type="expression" dxfId="258" priority="4">
      <formula>$G36=""</formula>
    </cfRule>
  </conditionalFormatting>
  <conditionalFormatting sqref="I36:I40">
    <cfRule type="expression" dxfId="257" priority="3">
      <formula>$G36=""</formula>
    </cfRule>
  </conditionalFormatting>
  <conditionalFormatting sqref="L27:L31">
    <cfRule type="expression" dxfId="256" priority="1">
      <formula>$I27=""</formula>
    </cfRule>
  </conditionalFormatting>
  <conditionalFormatting sqref="M27:M31">
    <cfRule type="expression" dxfId="255" priority="2">
      <formula>$I27=""</formula>
    </cfRule>
  </conditionalFormatting>
  <dataValidations count="2">
    <dataValidation type="list" allowBlank="1" showInputMessage="1" showErrorMessage="1" sqref="F18:F22 F27:F31 F36:F40" xr:uid="{00000000-0002-0000-0200-000000000000}">
      <formula1>Units</formula1>
    </dataValidation>
    <dataValidation type="list" allowBlank="1" showInputMessage="1" showErrorMessage="1" sqref="G18:G22" xr:uid="{00000000-0002-0000-0200-000001000000}">
      <formula1>SystemType</formula1>
    </dataValidation>
  </dataValidations>
  <pageMargins left="0.7" right="0.7" top="0.75" bottom="0.75" header="0.3" footer="0.3"/>
  <pageSetup orientation="portrait" r:id="rId1"/>
  <drawing r:id="rId2"/>
  <picture r:id="rId3"/>
  <tableParts count="3"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L30"/>
  <sheetViews>
    <sheetView showGridLines="0" showRowColHeaders="0" tabSelected="1" workbookViewId="0">
      <selection activeCell="B15" sqref="B15"/>
    </sheetView>
  </sheetViews>
  <sheetFormatPr defaultColWidth="9.140625" defaultRowHeight="12.75" x14ac:dyDescent="0.2"/>
  <cols>
    <col min="1" max="1" width="1.42578125" style="1" customWidth="1"/>
    <col min="2" max="2" width="37.7109375" style="1" customWidth="1"/>
    <col min="3" max="3" width="13" style="1" customWidth="1"/>
    <col min="4" max="4" width="15.7109375" style="1" customWidth="1"/>
    <col min="5" max="5" width="14.42578125" style="1" customWidth="1"/>
    <col min="6" max="6" width="15.85546875" style="1" customWidth="1"/>
    <col min="7" max="7" width="9.140625" style="1"/>
    <col min="8" max="8" width="6.85546875" style="1" customWidth="1"/>
    <col min="9" max="16384" width="9.140625" style="1"/>
  </cols>
  <sheetData>
    <row r="1" spans="1:12" ht="27" thickBot="1" x14ac:dyDescent="0.45">
      <c r="A1" s="21"/>
      <c r="B1" s="236" t="s">
        <v>323</v>
      </c>
      <c r="C1" s="237"/>
      <c r="D1" s="237"/>
      <c r="E1" s="237"/>
      <c r="F1" s="237"/>
      <c r="G1" s="237"/>
      <c r="H1" s="238"/>
    </row>
    <row r="2" spans="1:12" x14ac:dyDescent="0.2">
      <c r="A2" s="17"/>
      <c r="B2" s="239"/>
      <c r="C2" s="240"/>
      <c r="D2" s="240"/>
      <c r="E2" s="240"/>
      <c r="F2" s="240"/>
      <c r="G2" s="240"/>
      <c r="H2" s="241"/>
      <c r="I2" s="10"/>
      <c r="J2" s="10"/>
      <c r="K2" s="10"/>
      <c r="L2" s="10"/>
    </row>
    <row r="3" spans="1:12" ht="15.75" x14ac:dyDescent="0.25">
      <c r="A3" s="17"/>
      <c r="B3" s="242" t="s">
        <v>45</v>
      </c>
      <c r="C3" s="240"/>
      <c r="D3" s="240"/>
      <c r="E3" s="240"/>
      <c r="F3" s="240"/>
      <c r="G3" s="240"/>
      <c r="H3" s="241"/>
    </row>
    <row r="4" spans="1:12" x14ac:dyDescent="0.2">
      <c r="A4" s="17"/>
      <c r="B4" s="240" t="s">
        <v>166</v>
      </c>
      <c r="C4" s="240"/>
      <c r="D4" s="240"/>
      <c r="E4" s="240"/>
      <c r="F4" s="240"/>
      <c r="G4" s="240"/>
      <c r="H4" s="241"/>
    </row>
    <row r="5" spans="1:12" x14ac:dyDescent="0.2">
      <c r="A5" s="17"/>
      <c r="B5" s="240" t="s">
        <v>324</v>
      </c>
      <c r="C5" s="240"/>
      <c r="D5" s="240"/>
      <c r="E5" s="240"/>
      <c r="F5" s="240"/>
      <c r="G5" s="240"/>
      <c r="H5" s="241"/>
      <c r="I5" s="9"/>
    </row>
    <row r="6" spans="1:12" x14ac:dyDescent="0.2">
      <c r="A6" s="17"/>
      <c r="B6" s="240" t="s">
        <v>318</v>
      </c>
      <c r="C6" s="240"/>
      <c r="D6" s="240"/>
      <c r="E6" s="240"/>
      <c r="F6" s="240"/>
      <c r="G6" s="240"/>
      <c r="H6" s="241"/>
      <c r="I6" s="9"/>
    </row>
    <row r="7" spans="1:12" x14ac:dyDescent="0.2">
      <c r="A7" s="17"/>
      <c r="B7" s="240" t="s">
        <v>319</v>
      </c>
      <c r="C7" s="240"/>
      <c r="D7" s="240"/>
      <c r="E7" s="240"/>
      <c r="F7" s="240"/>
      <c r="G7" s="240"/>
      <c r="H7" s="241"/>
    </row>
    <row r="8" spans="1:12" x14ac:dyDescent="0.2">
      <c r="A8" s="17"/>
      <c r="B8" s="240" t="s">
        <v>322</v>
      </c>
      <c r="C8" s="240"/>
      <c r="D8" s="240"/>
      <c r="E8" s="240"/>
      <c r="F8" s="240"/>
      <c r="G8" s="240"/>
      <c r="H8" s="241"/>
    </row>
    <row r="9" spans="1:12" x14ac:dyDescent="0.2">
      <c r="A9" s="17"/>
      <c r="B9" s="240" t="s">
        <v>320</v>
      </c>
      <c r="C9" s="240"/>
      <c r="D9" s="240"/>
      <c r="E9" s="240"/>
      <c r="F9" s="240"/>
      <c r="G9" s="240"/>
      <c r="H9" s="241"/>
    </row>
    <row r="10" spans="1:12" x14ac:dyDescent="0.2">
      <c r="A10" s="17"/>
      <c r="B10" s="240" t="s">
        <v>321</v>
      </c>
      <c r="C10" s="240"/>
      <c r="D10" s="240"/>
      <c r="E10" s="240"/>
      <c r="F10" s="240"/>
      <c r="G10" s="240"/>
      <c r="H10" s="241"/>
    </row>
    <row r="11" spans="1:12" ht="13.5" thickBot="1" x14ac:dyDescent="0.25">
      <c r="A11" s="17"/>
      <c r="B11" s="240"/>
      <c r="C11" s="240"/>
      <c r="D11" s="240"/>
      <c r="E11" s="240"/>
      <c r="F11" s="240"/>
      <c r="G11" s="240"/>
      <c r="H11" s="241"/>
    </row>
    <row r="12" spans="1:12" ht="16.5" thickBot="1" x14ac:dyDescent="0.3">
      <c r="A12" s="17"/>
      <c r="B12" s="243" t="s">
        <v>39</v>
      </c>
      <c r="C12" s="244"/>
      <c r="D12" s="244"/>
      <c r="E12" s="244"/>
      <c r="F12" s="244"/>
      <c r="G12" s="245"/>
      <c r="H12" s="241"/>
    </row>
    <row r="13" spans="1:12" x14ac:dyDescent="0.2">
      <c r="A13" s="17"/>
      <c r="B13" s="240"/>
      <c r="C13" s="240"/>
      <c r="D13" s="240"/>
      <c r="E13" s="240"/>
      <c r="F13" s="240"/>
      <c r="G13" s="240"/>
      <c r="H13" s="241"/>
    </row>
    <row r="14" spans="1:12" ht="45" x14ac:dyDescent="0.2">
      <c r="A14" s="17"/>
      <c r="B14" s="166" t="s">
        <v>43</v>
      </c>
      <c r="C14" s="166" t="s">
        <v>42</v>
      </c>
      <c r="D14" s="166" t="s">
        <v>81</v>
      </c>
      <c r="E14" s="246" t="s">
        <v>82</v>
      </c>
      <c r="F14" s="246" t="s">
        <v>182</v>
      </c>
      <c r="G14" s="18"/>
      <c r="H14" s="16"/>
    </row>
    <row r="15" spans="1:12" ht="24" customHeight="1" x14ac:dyDescent="0.2">
      <c r="A15" s="17"/>
      <c r="B15" s="189"/>
      <c r="C15" s="198"/>
      <c r="D15" s="197"/>
      <c r="E15" s="247" t="str">
        <f>IF(Table1[[#This Row],[Unit Capacity (tons)]]&lt;5, "Does Not Qualify", IF(AND(Table1[[#This Row],[Unit Capacity (tons)]]&gt;=5,Table1[[#This Row],[Unit Capacity (tons)]]&lt;10),1600, IF(AND(Table1[[#This Row],[Unit Capacity (tons)]]&gt;=10,Table1[[#This Row],[Unit Capacity (tons)]]&lt;15),2500, IF(Table1[[#This Row],[Unit Capacity (tons)]]&gt;=15, 3000))))</f>
        <v>Does Not Qualify</v>
      </c>
      <c r="F15" s="248" t="str">
        <f>IF(Table1[[#This Row],[Rebate per Unit]] = "Does Not Qualify", "Does Not Qualify", Table1[[#This Row],[Rebate per Unit]]*Table1[[#This Row],[Quantity]])</f>
        <v>Does Not Qualify</v>
      </c>
      <c r="G15" s="15"/>
      <c r="H15" s="16"/>
    </row>
    <row r="16" spans="1:12" ht="24" customHeight="1" x14ac:dyDescent="0.2">
      <c r="A16" s="17"/>
      <c r="B16" s="194"/>
      <c r="C16" s="202"/>
      <c r="D16" s="201"/>
      <c r="E16" s="247" t="str">
        <f>IF(Table1[[#This Row],[Unit Capacity (tons)]]&lt;5, "Does Not Qualify", IF(AND(Table1[[#This Row],[Unit Capacity (tons)]]&gt;=5,Table1[[#This Row],[Unit Capacity (tons)]]&lt;10),1600, IF(AND(Table1[[#This Row],[Unit Capacity (tons)]]&gt;=10,Table1[[#This Row],[Unit Capacity (tons)]]&lt;15),2500, IF(Table1[[#This Row],[Unit Capacity (tons)]]&gt;=15, 3000))))</f>
        <v>Does Not Qualify</v>
      </c>
      <c r="F16" s="248" t="str">
        <f>IF(Table1[[#This Row],[Rebate per Unit]] = "Does Not Qualify", "Does Not Qualify", Table1[[#This Row],[Rebate per Unit]]*Table1[[#This Row],[Quantity]])</f>
        <v>Does Not Qualify</v>
      </c>
      <c r="G16" s="15"/>
      <c r="H16" s="16"/>
    </row>
    <row r="17" spans="1:8" ht="24" customHeight="1" x14ac:dyDescent="0.2">
      <c r="A17" s="17"/>
      <c r="B17" s="189"/>
      <c r="C17" s="198"/>
      <c r="D17" s="197"/>
      <c r="E17" s="247" t="str">
        <f>IF(Table1[[#This Row],[Unit Capacity (tons)]]&lt;5, "Does Not Qualify", IF(AND(Table1[[#This Row],[Unit Capacity (tons)]]&gt;=5,Table1[[#This Row],[Unit Capacity (tons)]]&lt;10),1600, IF(AND(Table1[[#This Row],[Unit Capacity (tons)]]&gt;=10,Table1[[#This Row],[Unit Capacity (tons)]]&lt;15),2500, IF(Table1[[#This Row],[Unit Capacity (tons)]]&gt;=15, 3000))))</f>
        <v>Does Not Qualify</v>
      </c>
      <c r="F17" s="248" t="str">
        <f>IF(Table1[[#This Row],[Rebate per Unit]] = "Does Not Qualify", "Does Not Qualify", Table1[[#This Row],[Rebate per Unit]]*Table1[[#This Row],[Quantity]])</f>
        <v>Does Not Qualify</v>
      </c>
      <c r="G17" s="15"/>
      <c r="H17" s="16"/>
    </row>
    <row r="18" spans="1:8" ht="24" customHeight="1" x14ac:dyDescent="0.2">
      <c r="A18" s="17"/>
      <c r="B18" s="194"/>
      <c r="C18" s="202"/>
      <c r="D18" s="201"/>
      <c r="E18" s="247" t="str">
        <f>IF(Table1[[#This Row],[Unit Capacity (tons)]]&lt;5, "Does Not Qualify", IF(AND(Table1[[#This Row],[Unit Capacity (tons)]]&gt;=5,Table1[[#This Row],[Unit Capacity (tons)]]&lt;10),1600, IF(AND(Table1[[#This Row],[Unit Capacity (tons)]]&gt;=10,Table1[[#This Row],[Unit Capacity (tons)]]&lt;15),2500, IF(Table1[[#This Row],[Unit Capacity (tons)]]&gt;=15, 3000))))</f>
        <v>Does Not Qualify</v>
      </c>
      <c r="F18" s="248" t="str">
        <f>IF(Table1[[#This Row],[Rebate per Unit]] = "Does Not Qualify", "Does Not Qualify", Table1[[#This Row],[Rebate per Unit]]*Table1[[#This Row],[Quantity]])</f>
        <v>Does Not Qualify</v>
      </c>
      <c r="G18" s="15"/>
      <c r="H18" s="16"/>
    </row>
    <row r="19" spans="1:8" ht="24" customHeight="1" x14ac:dyDescent="0.2">
      <c r="A19" s="17"/>
      <c r="B19" s="189"/>
      <c r="C19" s="198"/>
      <c r="D19" s="197"/>
      <c r="E19" s="247" t="str">
        <f>IF(Table1[[#This Row],[Unit Capacity (tons)]]&lt;5, "Does Not Qualify", IF(AND(Table1[[#This Row],[Unit Capacity (tons)]]&gt;=5,Table1[[#This Row],[Unit Capacity (tons)]]&lt;10),1600, IF(AND(Table1[[#This Row],[Unit Capacity (tons)]]&gt;=10,Table1[[#This Row],[Unit Capacity (tons)]]&lt;15),2500, IF(Table1[[#This Row],[Unit Capacity (tons)]]&gt;=15, 3000))))</f>
        <v>Does Not Qualify</v>
      </c>
      <c r="F19" s="248" t="str">
        <f>IF(Table1[[#This Row],[Rebate per Unit]] = "Does Not Qualify", "Does Not Qualify", Table1[[#This Row],[Rebate per Unit]]*Table1[[#This Row],[Quantity]])</f>
        <v>Does Not Qualify</v>
      </c>
      <c r="G19" s="15"/>
      <c r="H19" s="16"/>
    </row>
    <row r="20" spans="1:8" ht="15" x14ac:dyDescent="0.2">
      <c r="A20" s="17"/>
      <c r="B20" s="251" t="s">
        <v>44</v>
      </c>
      <c r="C20" s="252">
        <f>SUBTOTAL(109,Table1[Unit Capacity (tons)])</f>
        <v>0</v>
      </c>
      <c r="D20" s="252">
        <f>SUBTOTAL(109,Table1[Quantity])</f>
        <v>0</v>
      </c>
      <c r="E20" s="249"/>
      <c r="F20" s="250">
        <f>SUBTOTAL(109,Table1[Rebate])</f>
        <v>0</v>
      </c>
      <c r="G20" s="240"/>
      <c r="H20" s="241"/>
    </row>
    <row r="21" spans="1:8" ht="13.5" thickBot="1" x14ac:dyDescent="0.25">
      <c r="A21" s="17"/>
      <c r="B21" s="240"/>
      <c r="C21" s="240"/>
      <c r="D21" s="240"/>
      <c r="E21" s="240"/>
      <c r="F21" s="240"/>
      <c r="G21" s="240"/>
      <c r="H21" s="241"/>
    </row>
    <row r="22" spans="1:8" ht="16.5" thickBot="1" x14ac:dyDescent="0.3">
      <c r="A22" s="17"/>
      <c r="B22" s="243" t="s">
        <v>46</v>
      </c>
      <c r="C22" s="244"/>
      <c r="D22" s="244"/>
      <c r="E22" s="244"/>
      <c r="F22" s="244"/>
      <c r="G22" s="245"/>
      <c r="H22" s="241"/>
    </row>
    <row r="23" spans="1:8" x14ac:dyDescent="0.2">
      <c r="A23" s="17"/>
      <c r="B23" s="240"/>
      <c r="C23" s="240"/>
      <c r="D23" s="240"/>
      <c r="E23" s="240"/>
      <c r="F23" s="240"/>
      <c r="G23" s="240"/>
      <c r="H23" s="241"/>
    </row>
    <row r="24" spans="1:8" ht="15" x14ac:dyDescent="0.25">
      <c r="A24" s="17"/>
      <c r="B24" s="253" t="s">
        <v>40</v>
      </c>
      <c r="C24" s="253" t="s">
        <v>81</v>
      </c>
      <c r="D24" s="253" t="s">
        <v>317</v>
      </c>
      <c r="E24" s="254"/>
      <c r="F24" s="240"/>
      <c r="G24" s="240"/>
      <c r="H24" s="241"/>
    </row>
    <row r="25" spans="1:8" ht="24" customHeight="1" x14ac:dyDescent="0.2">
      <c r="A25" s="17"/>
      <c r="B25" s="255" t="s">
        <v>316</v>
      </c>
      <c r="C25" s="255">
        <f>Table1[[#Totals],[Quantity]]</f>
        <v>0</v>
      </c>
      <c r="D25" s="256">
        <f>Table1[[#Totals],[Rebate]]</f>
        <v>0</v>
      </c>
      <c r="E25" s="263"/>
      <c r="F25" s="263"/>
      <c r="G25" s="240"/>
      <c r="H25" s="241"/>
    </row>
    <row r="26" spans="1:8" x14ac:dyDescent="0.2">
      <c r="A26" s="17"/>
      <c r="B26" s="240"/>
      <c r="C26" s="240"/>
      <c r="D26" s="240"/>
      <c r="E26" s="240"/>
      <c r="F26" s="240"/>
      <c r="G26" s="240"/>
      <c r="H26" s="241"/>
    </row>
    <row r="27" spans="1:8" ht="13.5" thickBot="1" x14ac:dyDescent="0.25">
      <c r="A27" s="19"/>
      <c r="B27" s="257"/>
      <c r="C27" s="257"/>
      <c r="D27" s="257"/>
      <c r="E27" s="257"/>
      <c r="F27" s="257"/>
      <c r="G27" s="257"/>
      <c r="H27" s="258"/>
    </row>
    <row r="29" spans="1:8" x14ac:dyDescent="0.2">
      <c r="F29" s="167"/>
      <c r="G29" s="23"/>
      <c r="H29" s="23"/>
    </row>
    <row r="30" spans="1:8" ht="24" customHeight="1" x14ac:dyDescent="0.2">
      <c r="F30" s="168"/>
      <c r="G30" s="168"/>
      <c r="H30" s="168"/>
    </row>
  </sheetData>
  <sheetProtection algorithmName="SHA-512" hashValue="RHeVsnROCj08txoSYVzeZfFRKCDx2OZgckL59KkgvxqYJpyS7secdYMJi7qmlPmaoIuANkXLv9P3VBXkD4xWRg==" saltValue="/JePjCEUA/1e9jD/6LRn3Q==" spinCount="100000" sheet="1" selectLockedCells="1"/>
  <mergeCells count="1">
    <mergeCell ref="E25:F25"/>
  </mergeCells>
  <conditionalFormatting sqref="F15:F19">
    <cfRule type="expression" dxfId="188" priority="4">
      <formula>$D15=""</formula>
    </cfRule>
  </conditionalFormatting>
  <conditionalFormatting sqref="E15:E19">
    <cfRule type="expression" dxfId="187" priority="3">
      <formula>$D15=""</formula>
    </cfRule>
  </conditionalFormatting>
  <pageMargins left="0.7" right="0.7" top="0.75" bottom="0.75" header="0.3" footer="0.3"/>
  <pageSetup orientation="portrait" r:id="rId1"/>
  <picture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AJ303"/>
  <sheetViews>
    <sheetView showRowColHeaders="0" zoomScaleNormal="100" workbookViewId="0">
      <selection activeCell="D3" sqref="D3:F3"/>
    </sheetView>
  </sheetViews>
  <sheetFormatPr defaultColWidth="9.140625" defaultRowHeight="12.75" x14ac:dyDescent="0.2"/>
  <cols>
    <col min="1" max="1" width="1.42578125" style="1" customWidth="1"/>
    <col min="2" max="2" width="50.85546875" style="1" customWidth="1"/>
    <col min="3" max="3" width="18.42578125" style="2" bestFit="1" customWidth="1"/>
    <col min="4" max="8" width="18.85546875" style="2" customWidth="1"/>
    <col min="9" max="9" width="16.42578125" style="29" customWidth="1"/>
    <col min="10" max="10" width="5.7109375" style="29" customWidth="1"/>
    <col min="11" max="25" width="16.42578125" style="29" customWidth="1"/>
    <col min="26" max="26" width="16.42578125" style="29" hidden="1" customWidth="1"/>
    <col min="27" max="27" width="35.28515625" style="1" hidden="1" customWidth="1"/>
    <col min="28" max="28" width="38.85546875" style="1" hidden="1" customWidth="1"/>
    <col min="29" max="29" width="58.85546875" style="1" hidden="1" customWidth="1"/>
    <col min="30" max="30" width="60.5703125" style="1" hidden="1" customWidth="1"/>
    <col min="31" max="31" width="16.5703125" style="1" hidden="1" customWidth="1"/>
    <col min="32" max="32" width="17" style="1" hidden="1" customWidth="1"/>
    <col min="33" max="36" width="9.140625" style="1" hidden="1" customWidth="1"/>
    <col min="37" max="52" width="9.140625" style="1" customWidth="1"/>
    <col min="53" max="16384" width="9.140625" style="1"/>
  </cols>
  <sheetData>
    <row r="1" spans="1:32" ht="27" thickBot="1" x14ac:dyDescent="0.45">
      <c r="A1" s="21"/>
      <c r="B1" s="264" t="s">
        <v>49</v>
      </c>
      <c r="C1" s="264"/>
      <c r="D1" s="264"/>
      <c r="E1" s="264"/>
      <c r="F1" s="264"/>
      <c r="G1" s="264"/>
      <c r="H1" s="264"/>
      <c r="I1" s="264"/>
      <c r="J1" s="265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32" ht="15" x14ac:dyDescent="0.25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32" ht="15.75" x14ac:dyDescent="0.25">
      <c r="A3" s="59"/>
      <c r="B3" s="20" t="s">
        <v>45</v>
      </c>
      <c r="C3" s="52"/>
      <c r="D3" s="52"/>
      <c r="E3" s="52"/>
      <c r="F3" s="52"/>
      <c r="G3" s="52"/>
      <c r="H3" s="52"/>
      <c r="I3" s="52"/>
      <c r="J3" s="53"/>
    </row>
    <row r="4" spans="1:32" ht="15" x14ac:dyDescent="0.25">
      <c r="A4" s="59"/>
      <c r="B4" s="114" t="s">
        <v>183</v>
      </c>
      <c r="C4" s="52"/>
      <c r="D4" s="52"/>
      <c r="E4" s="52"/>
      <c r="F4" s="52"/>
      <c r="G4" s="52"/>
      <c r="H4" s="52"/>
      <c r="I4" s="52"/>
      <c r="J4" s="53"/>
    </row>
    <row r="5" spans="1:32" ht="15" x14ac:dyDescent="0.25">
      <c r="A5" s="59"/>
      <c r="B5" s="114" t="s">
        <v>221</v>
      </c>
      <c r="C5" s="52"/>
      <c r="D5" s="52"/>
      <c r="E5" s="52"/>
      <c r="F5" s="52"/>
      <c r="G5" s="52"/>
      <c r="H5" s="52"/>
      <c r="I5" s="52"/>
      <c r="J5" s="53"/>
    </row>
    <row r="6" spans="1:32" ht="15" x14ac:dyDescent="0.25">
      <c r="A6" s="59"/>
      <c r="B6" s="114" t="s">
        <v>222</v>
      </c>
      <c r="C6" s="52"/>
      <c r="D6" s="52"/>
      <c r="E6" s="52"/>
      <c r="F6" s="52"/>
      <c r="G6" s="52"/>
      <c r="H6" s="52"/>
      <c r="I6" s="52"/>
      <c r="J6" s="53"/>
    </row>
    <row r="7" spans="1:32" ht="15" x14ac:dyDescent="0.25">
      <c r="A7" s="59"/>
      <c r="B7" s="114" t="s">
        <v>223</v>
      </c>
      <c r="C7" s="52"/>
      <c r="D7" s="52"/>
      <c r="E7" s="52"/>
      <c r="F7" s="52"/>
      <c r="G7" s="52"/>
      <c r="H7" s="52"/>
      <c r="I7" s="52"/>
      <c r="J7" s="53"/>
    </row>
    <row r="8" spans="1:32" ht="15" x14ac:dyDescent="0.25">
      <c r="A8" s="59"/>
      <c r="B8" s="114" t="s">
        <v>224</v>
      </c>
      <c r="C8" s="52"/>
      <c r="D8" s="52"/>
      <c r="E8" s="52"/>
      <c r="F8" s="52"/>
      <c r="G8" s="52"/>
      <c r="H8" s="52"/>
      <c r="I8" s="52"/>
      <c r="J8" s="53"/>
    </row>
    <row r="9" spans="1:32" ht="15" x14ac:dyDescent="0.25">
      <c r="A9" s="59"/>
      <c r="B9" s="114" t="s">
        <v>225</v>
      </c>
      <c r="C9" s="52"/>
      <c r="D9" s="52"/>
      <c r="E9" s="52"/>
      <c r="F9" s="52"/>
      <c r="G9" s="52"/>
      <c r="H9" s="52"/>
      <c r="I9" s="52"/>
      <c r="J9" s="53"/>
    </row>
    <row r="10" spans="1:32" ht="15.75" thickBot="1" x14ac:dyDescent="0.3">
      <c r="A10" s="59"/>
      <c r="B10" s="52"/>
      <c r="C10" s="52"/>
      <c r="D10" s="52"/>
      <c r="E10" s="52"/>
      <c r="F10" s="52"/>
      <c r="G10" s="52"/>
      <c r="H10" s="52"/>
      <c r="I10" s="52"/>
      <c r="J10" s="53"/>
    </row>
    <row r="11" spans="1:32" ht="16.5" thickBot="1" x14ac:dyDescent="0.3">
      <c r="A11" s="59"/>
      <c r="B11" s="22" t="s">
        <v>39</v>
      </c>
      <c r="C11" s="33"/>
      <c r="D11" s="33"/>
      <c r="E11" s="33"/>
      <c r="F11" s="33"/>
      <c r="G11" s="33"/>
      <c r="H11" s="33"/>
      <c r="I11" s="34"/>
      <c r="J11" s="53"/>
    </row>
    <row r="12" spans="1:32" ht="15" x14ac:dyDescent="0.25">
      <c r="A12" s="59"/>
      <c r="B12" s="115"/>
      <c r="C12" s="115"/>
      <c r="D12" s="115"/>
      <c r="E12" s="115"/>
      <c r="F12" s="115"/>
      <c r="G12" s="115"/>
      <c r="H12" s="115"/>
      <c r="I12" s="52"/>
      <c r="J12" s="53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32" ht="15" x14ac:dyDescent="0.25">
      <c r="A13" s="59"/>
      <c r="B13" s="164" t="s">
        <v>101</v>
      </c>
      <c r="C13" s="138" t="s">
        <v>81</v>
      </c>
      <c r="D13" s="138" t="s">
        <v>113</v>
      </c>
      <c r="E13" s="138" t="s">
        <v>50</v>
      </c>
      <c r="F13" s="139" t="s">
        <v>111</v>
      </c>
      <c r="G13" s="139" t="s">
        <v>52</v>
      </c>
      <c r="H13" s="140" t="s">
        <v>182</v>
      </c>
      <c r="I13" s="52"/>
      <c r="J13" s="53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13" t="s">
        <v>102</v>
      </c>
      <c r="AB13" s="13" t="s">
        <v>112</v>
      </c>
      <c r="AC13" s="13" t="s">
        <v>115</v>
      </c>
      <c r="AD13" s="13" t="s">
        <v>120</v>
      </c>
      <c r="AE13" s="13" t="s">
        <v>117</v>
      </c>
      <c r="AF13" s="13" t="s">
        <v>118</v>
      </c>
    </row>
    <row r="14" spans="1:32" ht="24" customHeight="1" x14ac:dyDescent="0.25">
      <c r="A14" s="59"/>
      <c r="B14" s="205"/>
      <c r="C14" s="198"/>
      <c r="D14" s="213" t="e">
        <f>AC14</f>
        <v>#N/A</v>
      </c>
      <c r="E14" s="198" t="s">
        <v>287</v>
      </c>
      <c r="F14" s="211" t="e">
        <f>VLOOKUP(B14,$AC$31:$AF$44,3,0)</f>
        <v>#N/A</v>
      </c>
      <c r="G14" s="206" t="e">
        <f t="shared" ref="G14:G18" ca="1" si="0">IF(ISNA(AE14),"Enter Size Unit","$"&amp;AE14&amp;" "&amp;AF14)</f>
        <v>#N/A</v>
      </c>
      <c r="H14" s="196">
        <f ca="1">IF(ISNA(AE14),0,C14*AE14)</f>
        <v>0</v>
      </c>
      <c r="I14" s="52"/>
      <c r="J14" s="53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2" t="e">
        <f>VLOOKUP(B14,$AC$31:$AD$44,2,0)</f>
        <v>#N/A</v>
      </c>
      <c r="AB14" s="2" t="e">
        <f>IF(AA14="","",AA14&amp;"size")</f>
        <v>#N/A</v>
      </c>
      <c r="AC14" s="2" t="e">
        <f>VLOOKUP(B14,$AC$31:$AF$44,4,0)</f>
        <v>#N/A</v>
      </c>
      <c r="AD14" s="2" t="e">
        <f>VLOOKUP(B14,$AC$31:$AH$44,6,0)</f>
        <v>#N/A</v>
      </c>
      <c r="AE14" s="14">
        <f ca="1">IF(Table19[[#This Row],[Equipment Type]]="",0,IF(AD14=2,Glass_Door_Beverage_Cooler_Controller[Rebate Level],IF(AD14=8,Electric_Steam_Cooker_Single_Compartment[Rebate Level],IF(AD14=9,Electric_Steam_Cooker_Two_Compartment[Rebate Level],IF(AD14=10,Electric_Convection_Oven[Rebate Level],IF(AD14=11,Electric_Fryer[Rebate Level],IF(AD14=12,Electric_Griddle[Rebate Level],IF(AD14=13,Electronically_Commutated_EC_Motor_for_WalkIn_Cooler_or_Freezer[Rebate Level],IF(AD14=14,Demand_Control_Kitchen_Ventilation[Rebate Level],VLOOKUP(E14,INDIRECT(AA14),3,FALSE))))))))))</f>
        <v>0</v>
      </c>
      <c r="AF14" s="2" t="e">
        <f>VLOOKUP(B14,$AC$31:$AH$44,5,0)</f>
        <v>#N/A</v>
      </c>
    </row>
    <row r="15" spans="1:32" ht="24" customHeight="1" x14ac:dyDescent="0.25">
      <c r="A15" s="59"/>
      <c r="B15" s="209"/>
      <c r="C15" s="202"/>
      <c r="D15" s="213" t="e">
        <f t="shared" ref="D15:D18" si="1">AC15</f>
        <v>#N/A</v>
      </c>
      <c r="E15" s="202" t="s">
        <v>105</v>
      </c>
      <c r="F15" s="211" t="e">
        <f>VLOOKUP(B15,$AC$31:$AF$44,3,0)</f>
        <v>#N/A</v>
      </c>
      <c r="G15" s="206" t="e">
        <f t="shared" ca="1" si="0"/>
        <v>#N/A</v>
      </c>
      <c r="H15" s="196">
        <f ca="1">IF(ISNA(AE15),0,C15*AE15)</f>
        <v>0</v>
      </c>
      <c r="I15" s="52"/>
      <c r="J15" s="53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2" t="e">
        <f>VLOOKUP(B15,$AC$31:$AD$44,2,0)</f>
        <v>#N/A</v>
      </c>
      <c r="AB15" s="2" t="e">
        <f t="shared" ref="AB15:AB18" si="2">IF(AA15="","",AA15&amp;"size")</f>
        <v>#N/A</v>
      </c>
      <c r="AC15" s="2" t="e">
        <f>VLOOKUP(B15,$AC$31:$AF$44,4,0)</f>
        <v>#N/A</v>
      </c>
      <c r="AD15" s="2" t="e">
        <f>VLOOKUP(B15,$AC$31:$AH$44,6,0)</f>
        <v>#N/A</v>
      </c>
      <c r="AE15" s="14">
        <f ca="1">IF(Table19[[#This Row],[Equipment Type]]="",0,IF(AD15=2,Glass_Door_Beverage_Cooler_Controller[Rebate Level],IF(AD15=8,Electric_Steam_Cooker_Single_Compartment[Rebate Level],IF(AD15=9,Electric_Steam_Cooker_Two_Compartment[Rebate Level],IF(AD15=10,Electric_Convection_Oven[Rebate Level],IF(AD15=11,Electric_Fryer[Rebate Level],IF(AD15=12,Electric_Griddle[Rebate Level],IF(AD15=13,Electronically_Commutated_EC_Motor_for_WalkIn_Cooler_or_Freezer[Rebate Level],IF(AD15=14,Demand_Control_Kitchen_Ventilation[Rebate Level],VLOOKUP(E15,INDIRECT(AA15),3,FALSE))))))))))</f>
        <v>0</v>
      </c>
      <c r="AF15" s="2" t="e">
        <f>VLOOKUP(B15,$AC$31:$AH$44,5,0)</f>
        <v>#N/A</v>
      </c>
    </row>
    <row r="16" spans="1:32" ht="24" customHeight="1" x14ac:dyDescent="0.25">
      <c r="A16" s="59"/>
      <c r="B16" s="205"/>
      <c r="C16" s="230"/>
      <c r="D16" s="213" t="e">
        <f t="shared" si="1"/>
        <v>#N/A</v>
      </c>
      <c r="E16" s="198" t="s">
        <v>109</v>
      </c>
      <c r="F16" s="211" t="e">
        <f>VLOOKUP(B16,$AC$31:$AF$44,3,0)</f>
        <v>#N/A</v>
      </c>
      <c r="G16" s="206" t="e">
        <f t="shared" ca="1" si="0"/>
        <v>#N/A</v>
      </c>
      <c r="H16" s="196">
        <f ca="1">IF(ISNA(AE16),0,C16*AE16)</f>
        <v>0</v>
      </c>
      <c r="I16" s="52"/>
      <c r="J16" s="53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" t="e">
        <f>VLOOKUP(B16,$AC$31:$AD$44,2,0)</f>
        <v>#N/A</v>
      </c>
      <c r="AB16" s="2" t="e">
        <f t="shared" si="2"/>
        <v>#N/A</v>
      </c>
      <c r="AC16" s="2" t="e">
        <f>VLOOKUP(B16,$AC$31:$AF$44,4,0)</f>
        <v>#N/A</v>
      </c>
      <c r="AD16" s="2" t="e">
        <f>VLOOKUP(B16,$AC$31:$AH$44,6,0)</f>
        <v>#N/A</v>
      </c>
      <c r="AE16" s="14">
        <f ca="1">IF(Table19[[#This Row],[Equipment Type]]="",0,IF(AD16=2,Glass_Door_Beverage_Cooler_Controller[Rebate Level],IF(AD16=8,Electric_Steam_Cooker_Single_Compartment[Rebate Level],IF(AD16=9,Electric_Steam_Cooker_Two_Compartment[Rebate Level],IF(AD16=10,Electric_Convection_Oven[Rebate Level],IF(AD16=11,Electric_Fryer[Rebate Level],IF(AD16=12,Electric_Griddle[Rebate Level],IF(AD16=13,Electronically_Commutated_EC_Motor_for_WalkIn_Cooler_or_Freezer[Rebate Level],IF(AD16=14,Demand_Control_Kitchen_Ventilation[Rebate Level],VLOOKUP(E16,INDIRECT(AA16),3,FALSE))))))))))</f>
        <v>0</v>
      </c>
      <c r="AF16" s="2" t="e">
        <f>VLOOKUP(B16,$AC$31:$AH$44,5,0)</f>
        <v>#N/A</v>
      </c>
    </row>
    <row r="17" spans="1:34" ht="24" customHeight="1" x14ac:dyDescent="0.25">
      <c r="A17" s="59"/>
      <c r="B17" s="209"/>
      <c r="C17" s="231"/>
      <c r="D17" s="213" t="e">
        <f t="shared" si="1"/>
        <v>#N/A</v>
      </c>
      <c r="E17" s="202" t="s">
        <v>287</v>
      </c>
      <c r="F17" s="211" t="e">
        <f>VLOOKUP(B17,$AC$31:$AF$44,3,0)</f>
        <v>#N/A</v>
      </c>
      <c r="G17" s="206" t="e">
        <f t="shared" ca="1" si="0"/>
        <v>#N/A</v>
      </c>
      <c r="H17" s="196">
        <f ca="1">IF(ISNA(AE17),0,C17*AE17)</f>
        <v>0</v>
      </c>
      <c r="I17" s="52"/>
      <c r="J17" s="53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2" t="e">
        <f>VLOOKUP(B17,$AC$31:$AD$44,2,0)</f>
        <v>#N/A</v>
      </c>
      <c r="AB17" s="2" t="e">
        <f t="shared" si="2"/>
        <v>#N/A</v>
      </c>
      <c r="AC17" s="2" t="e">
        <f>VLOOKUP(B17,$AC$31:$AF$44,4,0)</f>
        <v>#N/A</v>
      </c>
      <c r="AD17" s="2" t="e">
        <f>VLOOKUP(B17,$AC$31:$AH$44,6,0)</f>
        <v>#N/A</v>
      </c>
      <c r="AE17" s="14">
        <f ca="1">IF(Table19[[#This Row],[Equipment Type]]="",0,IF(AD17=2,Glass_Door_Beverage_Cooler_Controller[Rebate Level],IF(AD17=8,Electric_Steam_Cooker_Single_Compartment[Rebate Level],IF(AD17=9,Electric_Steam_Cooker_Two_Compartment[Rebate Level],IF(AD17=10,Electric_Convection_Oven[Rebate Level],IF(AD17=11,Electric_Fryer[Rebate Level],IF(AD17=12,Electric_Griddle[Rebate Level],IF(AD17=13,Electronically_Commutated_EC_Motor_for_WalkIn_Cooler_or_Freezer[Rebate Level],IF(AD17=14,Demand_Control_Kitchen_Ventilation[Rebate Level],VLOOKUP(E17,INDIRECT(AA17),3,FALSE))))))))))</f>
        <v>0</v>
      </c>
      <c r="AF17" s="2" t="e">
        <f>VLOOKUP(B17,$AC$31:$AH$44,5,0)</f>
        <v>#N/A</v>
      </c>
    </row>
    <row r="18" spans="1:34" ht="24" customHeight="1" x14ac:dyDescent="0.25">
      <c r="A18" s="59"/>
      <c r="B18" s="205"/>
      <c r="C18" s="230"/>
      <c r="D18" s="213" t="e">
        <f t="shared" si="1"/>
        <v>#N/A</v>
      </c>
      <c r="E18" s="198" t="s">
        <v>107</v>
      </c>
      <c r="F18" s="211" t="e">
        <f>VLOOKUP(B18,$AC$31:$AF$44,3,0)</f>
        <v>#N/A</v>
      </c>
      <c r="G18" s="206" t="e">
        <f t="shared" ca="1" si="0"/>
        <v>#N/A</v>
      </c>
      <c r="H18" s="196">
        <f ca="1">IF(ISNA(AE18),0,C18*AE18)</f>
        <v>0</v>
      </c>
      <c r="I18" s="52"/>
      <c r="J18" s="53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2" t="e">
        <f>VLOOKUP(B18,$AC$31:$AD$44,2,0)</f>
        <v>#N/A</v>
      </c>
      <c r="AB18" s="2" t="e">
        <f t="shared" si="2"/>
        <v>#N/A</v>
      </c>
      <c r="AC18" s="2" t="e">
        <f>VLOOKUP(B18,$AC$31:$AF$44,4,0)</f>
        <v>#N/A</v>
      </c>
      <c r="AD18" s="2" t="e">
        <f>VLOOKUP(B18,$AC$31:$AH$44,6,0)</f>
        <v>#N/A</v>
      </c>
      <c r="AE18" s="14">
        <f ca="1">IF(Table19[[#This Row],[Equipment Type]]="",0,IF(AD18=2,Glass_Door_Beverage_Cooler_Controller[Rebate Level],IF(AD18=8,Electric_Steam_Cooker_Single_Compartment[Rebate Level],IF(AD18=9,Electric_Steam_Cooker_Two_Compartment[Rebate Level],IF(AD18=10,Electric_Convection_Oven[Rebate Level],IF(AD18=11,Electric_Fryer[Rebate Level],IF(AD18=12,Electric_Griddle[Rebate Level],IF(AD18=13,Electronically_Commutated_EC_Motor_for_WalkIn_Cooler_or_Freezer[Rebate Level],IF(AD18=14,Demand_Control_Kitchen_Ventilation[Rebate Level],VLOOKUP(E18,INDIRECT(AA18),3,FALSE))))))))))</f>
        <v>0</v>
      </c>
      <c r="AF18" s="2" t="e">
        <f>VLOOKUP(B18,$AC$31:$AH$44,5,0)</f>
        <v>#N/A</v>
      </c>
    </row>
    <row r="19" spans="1:34" ht="15" x14ac:dyDescent="0.25">
      <c r="A19" s="59"/>
      <c r="B19" s="137" t="s">
        <v>44</v>
      </c>
      <c r="C19" s="232">
        <f>SUBTOTAL(109,Table19[Quantity])</f>
        <v>0</v>
      </c>
      <c r="D19" s="141"/>
      <c r="E19" s="139"/>
      <c r="F19" s="141"/>
      <c r="G19" s="141"/>
      <c r="H19" s="165">
        <f ca="1">SUBTOTAL(109,Table19[Rebate])</f>
        <v>0</v>
      </c>
      <c r="I19" s="52"/>
      <c r="J19" s="53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34" ht="15.75" thickBot="1" x14ac:dyDescent="0.3">
      <c r="A20" s="59"/>
      <c r="B20" s="52"/>
      <c r="C20" s="52"/>
      <c r="D20" s="52"/>
      <c r="E20" s="52"/>
      <c r="F20" s="52"/>
      <c r="G20" s="52"/>
      <c r="H20" s="52"/>
      <c r="I20" s="52"/>
      <c r="J20" s="53"/>
    </row>
    <row r="21" spans="1:34" ht="16.5" thickBot="1" x14ac:dyDescent="0.3">
      <c r="A21" s="59"/>
      <c r="B21" s="22" t="s">
        <v>186</v>
      </c>
      <c r="C21" s="33"/>
      <c r="D21" s="33"/>
      <c r="E21" s="33"/>
      <c r="F21" s="33"/>
      <c r="G21" s="33"/>
      <c r="H21" s="33"/>
      <c r="I21" s="34"/>
      <c r="J21" s="53"/>
    </row>
    <row r="22" spans="1:34" ht="15" x14ac:dyDescent="0.25">
      <c r="A22" s="59"/>
      <c r="B22" s="52"/>
      <c r="C22" s="52"/>
      <c r="D22" s="52"/>
      <c r="E22" s="52"/>
      <c r="F22" s="49"/>
      <c r="G22" s="49"/>
      <c r="H22" s="50"/>
      <c r="I22" s="39"/>
      <c r="J22" s="51"/>
    </row>
    <row r="23" spans="1:34" ht="15" x14ac:dyDescent="0.25">
      <c r="A23" s="59"/>
      <c r="B23" s="116" t="s">
        <v>85</v>
      </c>
      <c r="C23" s="115"/>
      <c r="D23" s="115"/>
      <c r="E23" s="115"/>
      <c r="F23" s="52"/>
      <c r="G23" s="39"/>
      <c r="H23" s="39"/>
      <c r="I23" s="39"/>
      <c r="J23" s="51"/>
    </row>
    <row r="24" spans="1:34" ht="15" x14ac:dyDescent="0.25">
      <c r="A24" s="59"/>
      <c r="B24" s="117" t="s">
        <v>50</v>
      </c>
      <c r="C24" s="118" t="s">
        <v>111</v>
      </c>
      <c r="D24" s="118" t="s">
        <v>52</v>
      </c>
      <c r="E24" s="119" t="s">
        <v>53</v>
      </c>
      <c r="F24" s="52"/>
      <c r="G24" s="39"/>
      <c r="H24" s="39"/>
      <c r="I24" s="39"/>
      <c r="J24" s="51"/>
    </row>
    <row r="25" spans="1:34" ht="15" x14ac:dyDescent="0.25">
      <c r="A25" s="59"/>
      <c r="B25" s="132" t="s">
        <v>287</v>
      </c>
      <c r="C25" s="125" t="s">
        <v>54</v>
      </c>
      <c r="D25" s="126">
        <v>50</v>
      </c>
      <c r="E25" s="120" t="s">
        <v>55</v>
      </c>
      <c r="F25" s="52"/>
      <c r="G25" s="216"/>
      <c r="H25" s="216"/>
      <c r="I25" s="216"/>
      <c r="J25" s="51"/>
    </row>
    <row r="26" spans="1:34" ht="15" x14ac:dyDescent="0.25">
      <c r="A26" s="59"/>
      <c r="B26" s="121" t="s">
        <v>104</v>
      </c>
      <c r="C26" s="122" t="s">
        <v>54</v>
      </c>
      <c r="D26" s="123">
        <v>100</v>
      </c>
      <c r="E26" s="124" t="s">
        <v>55</v>
      </c>
      <c r="F26" s="52"/>
      <c r="G26" s="39"/>
      <c r="H26" s="39"/>
      <c r="I26" s="39"/>
      <c r="J26" s="51"/>
    </row>
    <row r="27" spans="1:34" ht="15" x14ac:dyDescent="0.25">
      <c r="A27" s="59"/>
      <c r="B27" s="132" t="s">
        <v>105</v>
      </c>
      <c r="C27" s="125" t="s">
        <v>54</v>
      </c>
      <c r="D27" s="126">
        <v>150</v>
      </c>
      <c r="E27" s="120" t="s">
        <v>55</v>
      </c>
      <c r="F27" s="52"/>
      <c r="G27" s="39"/>
      <c r="H27" s="39"/>
      <c r="I27" s="39"/>
      <c r="J27" s="51"/>
    </row>
    <row r="28" spans="1:34" ht="15" x14ac:dyDescent="0.25">
      <c r="A28" s="59"/>
      <c r="B28" s="133" t="s">
        <v>106</v>
      </c>
      <c r="C28" s="134" t="s">
        <v>54</v>
      </c>
      <c r="D28" s="135">
        <v>250</v>
      </c>
      <c r="E28" s="136" t="s">
        <v>55</v>
      </c>
      <c r="F28" s="52"/>
      <c r="G28" s="39"/>
      <c r="H28" s="39"/>
      <c r="I28" s="39"/>
      <c r="J28" s="51"/>
    </row>
    <row r="29" spans="1:34" ht="15" x14ac:dyDescent="0.25">
      <c r="A29" s="59"/>
      <c r="B29" s="132" t="s">
        <v>107</v>
      </c>
      <c r="C29" s="125" t="s">
        <v>54</v>
      </c>
      <c r="D29" s="126">
        <v>400</v>
      </c>
      <c r="E29" s="120" t="s">
        <v>55</v>
      </c>
      <c r="F29" s="52"/>
      <c r="G29" s="39"/>
      <c r="H29" s="39"/>
      <c r="I29" s="39"/>
      <c r="J29" s="51"/>
    </row>
    <row r="30" spans="1:34" ht="15" x14ac:dyDescent="0.25">
      <c r="A30" s="59"/>
      <c r="B30" s="121" t="s">
        <v>56</v>
      </c>
      <c r="C30" s="122" t="s">
        <v>54</v>
      </c>
      <c r="D30" s="123">
        <v>500</v>
      </c>
      <c r="E30" s="124" t="s">
        <v>55</v>
      </c>
      <c r="F30" s="52"/>
      <c r="G30" s="39"/>
      <c r="H30" s="39"/>
      <c r="I30" s="39"/>
      <c r="J30" s="51"/>
      <c r="AA30" s="24" t="s">
        <v>99</v>
      </c>
      <c r="AB30" s="6"/>
      <c r="AC30" s="11" t="s">
        <v>100</v>
      </c>
      <c r="AD30" s="11" t="s">
        <v>103</v>
      </c>
      <c r="AE30" s="11" t="s">
        <v>116</v>
      </c>
      <c r="AF30" s="11" t="s">
        <v>114</v>
      </c>
      <c r="AG30" s="11" t="s">
        <v>53</v>
      </c>
      <c r="AH30" s="11" t="s">
        <v>119</v>
      </c>
    </row>
    <row r="31" spans="1:34" ht="15" x14ac:dyDescent="0.25">
      <c r="A31" s="59"/>
      <c r="B31" s="52"/>
      <c r="C31" s="52"/>
      <c r="D31" s="52"/>
      <c r="E31" s="52"/>
      <c r="F31" s="52"/>
      <c r="G31" s="39"/>
      <c r="H31" s="39"/>
      <c r="I31" s="39"/>
      <c r="J31" s="51"/>
      <c r="AA31" s="4" t="s">
        <v>86</v>
      </c>
      <c r="AB31" s="6"/>
      <c r="AC31" s="1" t="s">
        <v>85</v>
      </c>
      <c r="AD31" s="12" t="s">
        <v>86</v>
      </c>
      <c r="AE31" s="12" t="s">
        <v>54</v>
      </c>
      <c r="AF31" s="1" t="s">
        <v>130</v>
      </c>
      <c r="AG31" s="1" t="s">
        <v>55</v>
      </c>
      <c r="AH31" s="1">
        <v>1</v>
      </c>
    </row>
    <row r="32" spans="1:34" ht="15" x14ac:dyDescent="0.25">
      <c r="A32" s="59"/>
      <c r="B32" s="116" t="s">
        <v>57</v>
      </c>
      <c r="C32" s="115"/>
      <c r="D32" s="52"/>
      <c r="E32" s="52"/>
      <c r="F32" s="52"/>
      <c r="G32" s="39"/>
      <c r="H32" s="39"/>
      <c r="I32" s="39"/>
      <c r="J32" s="51"/>
      <c r="AA32" s="4" t="s">
        <v>90</v>
      </c>
      <c r="AB32" s="6"/>
      <c r="AC32" s="1" t="s">
        <v>57</v>
      </c>
      <c r="AD32" s="1" t="s">
        <v>90</v>
      </c>
      <c r="AE32" s="1" t="s">
        <v>124</v>
      </c>
      <c r="AF32" s="1" t="s">
        <v>131</v>
      </c>
      <c r="AG32" s="1" t="s">
        <v>58</v>
      </c>
      <c r="AH32" s="1">
        <v>2</v>
      </c>
    </row>
    <row r="33" spans="1:34" ht="15" x14ac:dyDescent="0.25">
      <c r="A33" s="59"/>
      <c r="B33" s="130" t="s">
        <v>52</v>
      </c>
      <c r="C33" s="119" t="s">
        <v>53</v>
      </c>
      <c r="D33" s="52"/>
      <c r="E33" s="52"/>
      <c r="F33" s="52"/>
      <c r="G33" s="39"/>
      <c r="H33" s="39"/>
      <c r="I33" s="39"/>
      <c r="J33" s="51"/>
      <c r="AA33" s="4" t="s">
        <v>87</v>
      </c>
      <c r="AB33" s="6"/>
      <c r="AC33" s="1" t="s">
        <v>59</v>
      </c>
      <c r="AD33" s="1" t="s">
        <v>87</v>
      </c>
      <c r="AE33" s="1" t="s">
        <v>61</v>
      </c>
      <c r="AF33" s="1" t="s">
        <v>132</v>
      </c>
      <c r="AG33" s="1" t="s">
        <v>62</v>
      </c>
      <c r="AH33" s="1">
        <v>3</v>
      </c>
    </row>
    <row r="34" spans="1:34" ht="15" x14ac:dyDescent="0.25">
      <c r="A34" s="59"/>
      <c r="B34" s="131">
        <v>100</v>
      </c>
      <c r="C34" s="129" t="s">
        <v>58</v>
      </c>
      <c r="D34" s="52"/>
      <c r="E34" s="52"/>
      <c r="F34" s="52"/>
      <c r="G34" s="39"/>
      <c r="H34" s="39"/>
      <c r="I34" s="39"/>
      <c r="J34" s="51"/>
      <c r="AA34" s="4" t="s">
        <v>88</v>
      </c>
      <c r="AB34" s="6"/>
      <c r="AC34" s="1" t="s">
        <v>64</v>
      </c>
      <c r="AD34" s="1" t="s">
        <v>88</v>
      </c>
      <c r="AE34" s="1" t="s">
        <v>61</v>
      </c>
      <c r="AF34" s="1" t="s">
        <v>133</v>
      </c>
      <c r="AG34" s="1" t="s">
        <v>65</v>
      </c>
      <c r="AH34" s="1">
        <v>4</v>
      </c>
    </row>
    <row r="35" spans="1:34" ht="15" x14ac:dyDescent="0.25">
      <c r="A35" s="59"/>
      <c r="B35" s="52"/>
      <c r="C35" s="52"/>
      <c r="D35" s="52"/>
      <c r="E35" s="52"/>
      <c r="F35" s="52"/>
      <c r="G35" s="39"/>
      <c r="H35" s="39"/>
      <c r="I35" s="39"/>
      <c r="J35" s="51"/>
      <c r="AA35" s="4" t="s">
        <v>91</v>
      </c>
      <c r="AB35" s="6"/>
      <c r="AC35" s="1" t="s">
        <v>89</v>
      </c>
      <c r="AD35" s="1" t="s">
        <v>91</v>
      </c>
      <c r="AE35" s="1" t="s">
        <v>61</v>
      </c>
      <c r="AF35" s="1" t="s">
        <v>132</v>
      </c>
      <c r="AG35" s="1" t="s">
        <v>62</v>
      </c>
      <c r="AH35" s="1">
        <v>5</v>
      </c>
    </row>
    <row r="36" spans="1:34" ht="15" x14ac:dyDescent="0.25">
      <c r="A36" s="59"/>
      <c r="B36" s="116" t="s">
        <v>172</v>
      </c>
      <c r="C36" s="115"/>
      <c r="D36" s="115"/>
      <c r="E36" s="115"/>
      <c r="F36" s="52"/>
      <c r="G36" s="39"/>
      <c r="H36" s="39"/>
      <c r="I36" s="39"/>
      <c r="J36" s="51"/>
      <c r="AA36" s="4" t="s">
        <v>92</v>
      </c>
      <c r="AB36" s="6"/>
      <c r="AC36" s="1" t="s">
        <v>84</v>
      </c>
      <c r="AD36" s="1" t="s">
        <v>92</v>
      </c>
      <c r="AE36" s="1" t="s">
        <v>125</v>
      </c>
      <c r="AF36" s="1" t="s">
        <v>134</v>
      </c>
      <c r="AG36" s="1" t="s">
        <v>67</v>
      </c>
      <c r="AH36" s="1">
        <v>6</v>
      </c>
    </row>
    <row r="37" spans="1:34" ht="15" x14ac:dyDescent="0.25">
      <c r="A37" s="59"/>
      <c r="B37" s="130" t="s">
        <v>50</v>
      </c>
      <c r="C37" s="118" t="s">
        <v>51</v>
      </c>
      <c r="D37" s="118" t="s">
        <v>52</v>
      </c>
      <c r="E37" s="119" t="s">
        <v>53</v>
      </c>
      <c r="F37" s="52"/>
      <c r="G37" s="39"/>
      <c r="H37" s="39"/>
      <c r="I37" s="52"/>
      <c r="J37" s="53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4" t="s">
        <v>93</v>
      </c>
      <c r="AB37" s="6"/>
      <c r="AC37" s="1" t="s">
        <v>68</v>
      </c>
      <c r="AD37" s="1" t="s">
        <v>93</v>
      </c>
      <c r="AE37" s="1" t="s">
        <v>69</v>
      </c>
      <c r="AF37" s="1" t="s">
        <v>135</v>
      </c>
      <c r="AG37" s="1" t="s">
        <v>70</v>
      </c>
      <c r="AH37" s="1">
        <v>7</v>
      </c>
    </row>
    <row r="38" spans="1:34" ht="15" x14ac:dyDescent="0.25">
      <c r="A38" s="59"/>
      <c r="B38" s="132" t="s">
        <v>60</v>
      </c>
      <c r="C38" s="125" t="s">
        <v>61</v>
      </c>
      <c r="D38" s="126">
        <v>50</v>
      </c>
      <c r="E38" s="120" t="s">
        <v>62</v>
      </c>
      <c r="F38" s="52"/>
      <c r="G38" s="52"/>
      <c r="H38" s="52"/>
      <c r="I38" s="52"/>
      <c r="J38" s="5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4" t="s">
        <v>292</v>
      </c>
      <c r="AB38" s="6"/>
      <c r="AC38" s="1" t="s">
        <v>294</v>
      </c>
      <c r="AD38" s="1" t="s">
        <v>292</v>
      </c>
      <c r="AE38" s="1" t="s">
        <v>126</v>
      </c>
      <c r="AF38" s="1" t="s">
        <v>136</v>
      </c>
      <c r="AG38" s="1" t="s">
        <v>72</v>
      </c>
      <c r="AH38" s="1">
        <v>8</v>
      </c>
    </row>
    <row r="39" spans="1:34" ht="15" x14ac:dyDescent="0.25">
      <c r="A39" s="59"/>
      <c r="B39" s="121" t="s">
        <v>108</v>
      </c>
      <c r="C39" s="122" t="s">
        <v>61</v>
      </c>
      <c r="D39" s="123">
        <v>75</v>
      </c>
      <c r="E39" s="124" t="s">
        <v>62</v>
      </c>
      <c r="F39" s="52"/>
      <c r="G39" s="52"/>
      <c r="H39" s="52"/>
      <c r="I39" s="52"/>
      <c r="J39" s="53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1" t="s">
        <v>293</v>
      </c>
      <c r="AC39" s="1" t="s">
        <v>295</v>
      </c>
      <c r="AD39" s="1" t="s">
        <v>293</v>
      </c>
      <c r="AE39" s="1" t="s">
        <v>126</v>
      </c>
      <c r="AF39" s="1" t="s">
        <v>136</v>
      </c>
      <c r="AG39" s="1" t="s">
        <v>72</v>
      </c>
      <c r="AH39" s="1">
        <v>9</v>
      </c>
    </row>
    <row r="40" spans="1:34" ht="15" x14ac:dyDescent="0.25">
      <c r="A40" s="59"/>
      <c r="B40" s="132" t="s">
        <v>109</v>
      </c>
      <c r="C40" s="125" t="s">
        <v>61</v>
      </c>
      <c r="D40" s="126">
        <v>125</v>
      </c>
      <c r="E40" s="120" t="s">
        <v>62</v>
      </c>
      <c r="F40" s="52"/>
      <c r="G40" s="52"/>
      <c r="H40" s="52"/>
      <c r="I40" s="52"/>
      <c r="J40" s="53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4" t="s">
        <v>94</v>
      </c>
      <c r="AB40" s="6"/>
      <c r="AC40" s="1" t="s">
        <v>73</v>
      </c>
      <c r="AD40" s="1" t="s">
        <v>94</v>
      </c>
      <c r="AE40" s="1" t="s">
        <v>127</v>
      </c>
      <c r="AF40" s="1" t="s">
        <v>135</v>
      </c>
      <c r="AG40" s="1" t="s">
        <v>70</v>
      </c>
      <c r="AH40" s="1">
        <v>10</v>
      </c>
    </row>
    <row r="41" spans="1:34" ht="15" x14ac:dyDescent="0.25">
      <c r="A41" s="59"/>
      <c r="B41" s="133" t="s">
        <v>63</v>
      </c>
      <c r="C41" s="134" t="s">
        <v>61</v>
      </c>
      <c r="D41" s="135">
        <v>200</v>
      </c>
      <c r="E41" s="136" t="s">
        <v>62</v>
      </c>
      <c r="F41" s="52"/>
      <c r="G41" s="52"/>
      <c r="H41" s="52"/>
      <c r="I41" s="52"/>
      <c r="J41" s="53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4" t="s">
        <v>95</v>
      </c>
      <c r="AB41" s="6"/>
      <c r="AC41" s="1" t="s">
        <v>74</v>
      </c>
      <c r="AD41" s="1" t="s">
        <v>95</v>
      </c>
      <c r="AE41" s="1" t="s">
        <v>128</v>
      </c>
      <c r="AF41" s="1" t="s">
        <v>137</v>
      </c>
      <c r="AG41" s="1" t="s">
        <v>75</v>
      </c>
      <c r="AH41" s="1">
        <v>11</v>
      </c>
    </row>
    <row r="42" spans="1:34" ht="15" x14ac:dyDescent="0.25">
      <c r="A42" s="59"/>
      <c r="B42" s="52"/>
      <c r="C42" s="52"/>
      <c r="D42" s="52"/>
      <c r="E42" s="52"/>
      <c r="F42" s="52"/>
      <c r="G42" s="52"/>
      <c r="H42" s="52"/>
      <c r="I42" s="52"/>
      <c r="J42" s="53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4" t="s">
        <v>96</v>
      </c>
      <c r="AB42" s="6"/>
      <c r="AC42" s="1" t="s">
        <v>76</v>
      </c>
      <c r="AD42" s="1" t="s">
        <v>96</v>
      </c>
      <c r="AE42" s="1" t="s">
        <v>185</v>
      </c>
      <c r="AF42" s="1" t="s">
        <v>184</v>
      </c>
      <c r="AG42" s="1" t="s">
        <v>77</v>
      </c>
      <c r="AH42" s="1">
        <v>12</v>
      </c>
    </row>
    <row r="43" spans="1:34" ht="15" x14ac:dyDescent="0.25">
      <c r="A43" s="59"/>
      <c r="B43" s="116" t="s">
        <v>173</v>
      </c>
      <c r="C43" s="115"/>
      <c r="D43" s="115"/>
      <c r="E43" s="115"/>
      <c r="F43" s="52"/>
      <c r="G43" s="52"/>
      <c r="H43" s="52"/>
      <c r="I43" s="52"/>
      <c r="J43" s="53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4" t="s">
        <v>97</v>
      </c>
      <c r="AB43" s="6"/>
      <c r="AC43" s="1" t="s">
        <v>78</v>
      </c>
      <c r="AD43" s="1" t="s">
        <v>97</v>
      </c>
      <c r="AE43" s="1" t="s">
        <v>129</v>
      </c>
      <c r="AF43" s="1" t="s">
        <v>138</v>
      </c>
      <c r="AG43" s="1" t="s">
        <v>79</v>
      </c>
      <c r="AH43" s="1">
        <v>13</v>
      </c>
    </row>
    <row r="44" spans="1:34" ht="15" x14ac:dyDescent="0.25">
      <c r="A44" s="59"/>
      <c r="B44" s="130" t="s">
        <v>50</v>
      </c>
      <c r="C44" s="118" t="s">
        <v>51</v>
      </c>
      <c r="D44" s="118" t="s">
        <v>52</v>
      </c>
      <c r="E44" s="119" t="s">
        <v>53</v>
      </c>
      <c r="F44" s="52"/>
      <c r="G44" s="52"/>
      <c r="H44" s="52"/>
      <c r="I44" s="52"/>
      <c r="J44" s="53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4" t="s">
        <v>98</v>
      </c>
      <c r="AB44" s="6"/>
      <c r="AC44" s="1" t="s">
        <v>83</v>
      </c>
      <c r="AD44" s="1" t="s">
        <v>98</v>
      </c>
      <c r="AE44" s="1" t="s">
        <v>139</v>
      </c>
      <c r="AF44" s="1" t="s">
        <v>139</v>
      </c>
      <c r="AG44" s="1" t="s">
        <v>80</v>
      </c>
      <c r="AH44" s="1">
        <v>14</v>
      </c>
    </row>
    <row r="45" spans="1:34" ht="15" x14ac:dyDescent="0.25">
      <c r="A45" s="59"/>
      <c r="B45" s="132" t="s">
        <v>60</v>
      </c>
      <c r="C45" s="125" t="s">
        <v>61</v>
      </c>
      <c r="D45" s="126">
        <v>100</v>
      </c>
      <c r="E45" s="120" t="s">
        <v>65</v>
      </c>
      <c r="F45" s="52"/>
      <c r="G45" s="52"/>
      <c r="H45" s="52"/>
      <c r="I45" s="52"/>
      <c r="J45" s="53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34" ht="15" x14ac:dyDescent="0.25">
      <c r="A46" s="59"/>
      <c r="B46" s="121" t="s">
        <v>108</v>
      </c>
      <c r="C46" s="122" t="s">
        <v>61</v>
      </c>
      <c r="D46" s="123">
        <v>150</v>
      </c>
      <c r="E46" s="124" t="s">
        <v>65</v>
      </c>
      <c r="F46" s="52"/>
      <c r="G46" s="52"/>
      <c r="H46" s="52"/>
      <c r="I46" s="52"/>
      <c r="J46" s="53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34" ht="15" x14ac:dyDescent="0.25">
      <c r="A47" s="59"/>
      <c r="B47" s="132" t="s">
        <v>109</v>
      </c>
      <c r="C47" s="125" t="s">
        <v>61</v>
      </c>
      <c r="D47" s="126">
        <v>300</v>
      </c>
      <c r="E47" s="120" t="s">
        <v>65</v>
      </c>
      <c r="F47" s="52"/>
      <c r="G47" s="52"/>
      <c r="H47" s="52"/>
      <c r="I47" s="52"/>
      <c r="J47" s="53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34" ht="15" x14ac:dyDescent="0.25">
      <c r="A48" s="59"/>
      <c r="B48" s="133" t="s">
        <v>63</v>
      </c>
      <c r="C48" s="134" t="s">
        <v>61</v>
      </c>
      <c r="D48" s="135">
        <v>600</v>
      </c>
      <c r="E48" s="136" t="s">
        <v>65</v>
      </c>
      <c r="F48" s="52"/>
      <c r="G48" s="52"/>
      <c r="H48" s="52"/>
      <c r="I48" s="52"/>
      <c r="J48" s="53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" x14ac:dyDescent="0.25">
      <c r="A49" s="59"/>
      <c r="B49" s="52"/>
      <c r="C49" s="52"/>
      <c r="D49" s="52"/>
      <c r="E49" s="52"/>
      <c r="F49" s="52"/>
      <c r="G49" s="52"/>
      <c r="H49" s="52"/>
      <c r="I49" s="52"/>
      <c r="J49" s="53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" x14ac:dyDescent="0.25">
      <c r="A50" s="59"/>
      <c r="B50" s="116" t="s">
        <v>174</v>
      </c>
      <c r="C50" s="115"/>
      <c r="D50" s="115"/>
      <c r="E50" s="115"/>
      <c r="F50" s="52"/>
      <c r="G50" s="52"/>
      <c r="H50" s="52"/>
      <c r="I50" s="52"/>
      <c r="J50" s="53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" x14ac:dyDescent="0.25">
      <c r="A51" s="59"/>
      <c r="B51" s="130" t="s">
        <v>50</v>
      </c>
      <c r="C51" s="118" t="s">
        <v>51</v>
      </c>
      <c r="D51" s="118" t="s">
        <v>52</v>
      </c>
      <c r="E51" s="119" t="s">
        <v>53</v>
      </c>
      <c r="F51" s="52"/>
      <c r="G51" s="52"/>
      <c r="H51" s="52"/>
      <c r="I51" s="52"/>
      <c r="J51" s="53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" x14ac:dyDescent="0.25">
      <c r="A52" s="59"/>
      <c r="B52" s="132" t="s">
        <v>60</v>
      </c>
      <c r="C52" s="125" t="s">
        <v>61</v>
      </c>
      <c r="D52" s="126">
        <v>75</v>
      </c>
      <c r="E52" s="120" t="s">
        <v>62</v>
      </c>
      <c r="F52" s="52"/>
      <c r="G52" s="52"/>
      <c r="H52" s="52"/>
      <c r="I52" s="52"/>
      <c r="J52" s="53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" x14ac:dyDescent="0.25">
      <c r="A53" s="59"/>
      <c r="B53" s="121" t="s">
        <v>108</v>
      </c>
      <c r="C53" s="122" t="s">
        <v>61</v>
      </c>
      <c r="D53" s="123">
        <v>100</v>
      </c>
      <c r="E53" s="124" t="s">
        <v>62</v>
      </c>
      <c r="F53" s="52"/>
      <c r="G53" s="52"/>
      <c r="H53" s="52"/>
      <c r="I53" s="52"/>
      <c r="J53" s="53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" x14ac:dyDescent="0.25">
      <c r="A54" s="59"/>
      <c r="B54" s="132" t="s">
        <v>109</v>
      </c>
      <c r="C54" s="125" t="s">
        <v>61</v>
      </c>
      <c r="D54" s="126">
        <v>125</v>
      </c>
      <c r="E54" s="120" t="s">
        <v>62</v>
      </c>
      <c r="F54" s="52"/>
      <c r="G54" s="52"/>
      <c r="H54" s="52"/>
      <c r="I54" s="52"/>
      <c r="J54" s="53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" x14ac:dyDescent="0.25">
      <c r="A55" s="59"/>
      <c r="B55" s="133" t="s">
        <v>63</v>
      </c>
      <c r="C55" s="134" t="s">
        <v>61</v>
      </c>
      <c r="D55" s="135">
        <v>150</v>
      </c>
      <c r="E55" s="136" t="s">
        <v>62</v>
      </c>
      <c r="F55" s="52"/>
      <c r="G55" s="52"/>
      <c r="H55" s="52"/>
      <c r="I55" s="52"/>
      <c r="J55" s="53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" x14ac:dyDescent="0.25">
      <c r="A56" s="59"/>
      <c r="B56" s="52"/>
      <c r="C56" s="52"/>
      <c r="D56" s="52"/>
      <c r="E56" s="52"/>
      <c r="F56" s="52"/>
      <c r="G56" s="52"/>
      <c r="H56" s="52"/>
      <c r="I56" s="52"/>
      <c r="J56" s="53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" x14ac:dyDescent="0.25">
      <c r="A57" s="59"/>
      <c r="B57" s="116" t="s">
        <v>84</v>
      </c>
      <c r="C57" s="115"/>
      <c r="D57" s="115"/>
      <c r="E57" s="115"/>
      <c r="F57" s="52"/>
      <c r="G57" s="52"/>
      <c r="H57" s="52"/>
      <c r="I57" s="52"/>
      <c r="J57" s="53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" x14ac:dyDescent="0.25">
      <c r="A58" s="59"/>
      <c r="B58" s="130" t="s">
        <v>66</v>
      </c>
      <c r="C58" s="143" t="s">
        <v>121</v>
      </c>
      <c r="D58" s="118" t="s">
        <v>52</v>
      </c>
      <c r="E58" s="119" t="s">
        <v>53</v>
      </c>
      <c r="F58" s="52"/>
      <c r="G58" s="52"/>
      <c r="H58" s="52"/>
      <c r="I58" s="52"/>
      <c r="J58" s="53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" x14ac:dyDescent="0.25">
      <c r="A59" s="59"/>
      <c r="B59" s="144">
        <v>0.5</v>
      </c>
      <c r="C59" s="145" t="s">
        <v>122</v>
      </c>
      <c r="D59" s="126">
        <v>200</v>
      </c>
      <c r="E59" s="120" t="s">
        <v>67</v>
      </c>
      <c r="F59" s="52"/>
      <c r="G59" s="52"/>
      <c r="H59" s="52"/>
      <c r="I59" s="52"/>
      <c r="J59" s="53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" x14ac:dyDescent="0.25">
      <c r="A60" s="59"/>
      <c r="B60" s="146">
        <v>1</v>
      </c>
      <c r="C60" s="147" t="s">
        <v>123</v>
      </c>
      <c r="D60" s="135">
        <v>750</v>
      </c>
      <c r="E60" s="136" t="s">
        <v>67</v>
      </c>
      <c r="F60" s="52"/>
      <c r="G60" s="52"/>
      <c r="H60" s="52"/>
      <c r="I60" s="52"/>
      <c r="J60" s="53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" x14ac:dyDescent="0.25">
      <c r="A61" s="59"/>
      <c r="B61" s="52"/>
      <c r="C61" s="52"/>
      <c r="D61" s="52"/>
      <c r="E61" s="52"/>
      <c r="F61" s="52"/>
      <c r="G61" s="52"/>
      <c r="H61" s="52"/>
      <c r="I61" s="52"/>
      <c r="J61" s="53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" x14ac:dyDescent="0.25">
      <c r="A62" s="59"/>
      <c r="B62" s="116" t="s">
        <v>68</v>
      </c>
      <c r="C62" s="115"/>
      <c r="D62" s="115"/>
      <c r="E62" s="115"/>
      <c r="F62" s="52"/>
      <c r="G62" s="52"/>
      <c r="H62" s="52"/>
      <c r="I62" s="52"/>
      <c r="J62" s="53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" x14ac:dyDescent="0.25">
      <c r="A63" s="59"/>
      <c r="B63" s="130" t="s">
        <v>50</v>
      </c>
      <c r="C63" s="118" t="s">
        <v>51</v>
      </c>
      <c r="D63" s="118" t="s">
        <v>52</v>
      </c>
      <c r="E63" s="119" t="s">
        <v>53</v>
      </c>
      <c r="F63" s="52"/>
      <c r="G63" s="52"/>
      <c r="H63" s="52"/>
      <c r="I63" s="52"/>
      <c r="J63" s="53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" x14ac:dyDescent="0.25">
      <c r="A64" s="59"/>
      <c r="B64" s="132" t="s">
        <v>60</v>
      </c>
      <c r="C64" s="125" t="s">
        <v>69</v>
      </c>
      <c r="D64" s="126">
        <v>1350</v>
      </c>
      <c r="E64" s="120" t="s">
        <v>70</v>
      </c>
      <c r="F64" s="52"/>
      <c r="G64" s="52"/>
      <c r="H64" s="52"/>
      <c r="I64" s="52"/>
      <c r="J64" s="53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" x14ac:dyDescent="0.25">
      <c r="A65" s="59"/>
      <c r="B65" s="121" t="s">
        <v>110</v>
      </c>
      <c r="C65" s="122" t="s">
        <v>69</v>
      </c>
      <c r="D65" s="123">
        <v>1375</v>
      </c>
      <c r="E65" s="124" t="s">
        <v>70</v>
      </c>
      <c r="F65" s="52"/>
      <c r="G65" s="52"/>
      <c r="H65" s="52"/>
      <c r="I65" s="52"/>
      <c r="J65" s="53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" x14ac:dyDescent="0.25">
      <c r="A66" s="59"/>
      <c r="B66" s="148" t="s">
        <v>71</v>
      </c>
      <c r="C66" s="127" t="s">
        <v>69</v>
      </c>
      <c r="D66" s="128">
        <v>5000</v>
      </c>
      <c r="E66" s="129" t="s">
        <v>70</v>
      </c>
      <c r="F66" s="52"/>
      <c r="G66" s="52"/>
      <c r="H66" s="52"/>
      <c r="I66" s="52"/>
      <c r="J66" s="53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" x14ac:dyDescent="0.25">
      <c r="A67" s="59"/>
      <c r="B67" s="52"/>
      <c r="C67" s="52"/>
      <c r="D67" s="52"/>
      <c r="E67" s="52"/>
      <c r="F67" s="52"/>
      <c r="G67" s="52"/>
      <c r="H67" s="52"/>
      <c r="I67" s="52"/>
      <c r="J67" s="53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" x14ac:dyDescent="0.25">
      <c r="A68" s="59"/>
      <c r="B68" s="116" t="s">
        <v>294</v>
      </c>
      <c r="C68" s="115"/>
      <c r="D68" s="52"/>
      <c r="E68" s="52"/>
      <c r="F68" s="52"/>
      <c r="G68" s="52"/>
      <c r="H68" s="52"/>
      <c r="I68" s="52"/>
      <c r="J68" s="53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" x14ac:dyDescent="0.25">
      <c r="A69" s="59"/>
      <c r="B69" s="130" t="s">
        <v>52</v>
      </c>
      <c r="C69" s="119" t="s">
        <v>53</v>
      </c>
      <c r="D69" s="52"/>
      <c r="E69" s="52"/>
      <c r="F69" s="52"/>
      <c r="G69" s="52"/>
      <c r="H69" s="52"/>
      <c r="I69" s="52"/>
      <c r="J69" s="53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" x14ac:dyDescent="0.25">
      <c r="A70" s="59"/>
      <c r="B70" s="131">
        <v>1850</v>
      </c>
      <c r="C70" s="129" t="s">
        <v>72</v>
      </c>
      <c r="D70" s="52"/>
      <c r="E70" s="52"/>
      <c r="F70" s="52"/>
      <c r="G70" s="52"/>
      <c r="H70" s="52"/>
      <c r="I70" s="52"/>
      <c r="J70" s="53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" x14ac:dyDescent="0.25">
      <c r="A71" s="59"/>
      <c r="B71" s="115"/>
      <c r="C71" s="115"/>
      <c r="D71" s="52"/>
      <c r="E71" s="52"/>
      <c r="F71" s="52"/>
      <c r="G71" s="52"/>
      <c r="H71" s="52"/>
      <c r="I71" s="52"/>
      <c r="J71" s="53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" x14ac:dyDescent="0.25">
      <c r="A72" s="59"/>
      <c r="B72" s="116" t="s">
        <v>295</v>
      </c>
      <c r="C72" s="115"/>
      <c r="D72" s="52"/>
      <c r="E72" s="52"/>
      <c r="F72" s="52"/>
      <c r="G72" s="52"/>
      <c r="H72" s="52"/>
      <c r="I72" s="52"/>
      <c r="J72" s="53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" x14ac:dyDescent="0.25">
      <c r="A73" s="59"/>
      <c r="B73" s="130" t="s">
        <v>52</v>
      </c>
      <c r="C73" s="119" t="s">
        <v>53</v>
      </c>
      <c r="D73" s="52"/>
      <c r="E73" s="52"/>
      <c r="F73" s="52"/>
      <c r="G73" s="52"/>
      <c r="H73" s="52"/>
      <c r="I73" s="52"/>
      <c r="J73" s="53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" x14ac:dyDescent="0.25">
      <c r="A74" s="59"/>
      <c r="B74" s="131">
        <v>2500</v>
      </c>
      <c r="C74" s="129" t="s">
        <v>72</v>
      </c>
      <c r="D74" s="52"/>
      <c r="E74" s="52"/>
      <c r="F74" s="52"/>
      <c r="G74" s="52"/>
      <c r="H74" s="52"/>
      <c r="I74" s="52"/>
      <c r="J74" s="53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" x14ac:dyDescent="0.25">
      <c r="A75" s="59"/>
      <c r="B75" s="115"/>
      <c r="C75" s="115"/>
      <c r="D75" s="52"/>
      <c r="E75" s="52"/>
      <c r="F75" s="52"/>
      <c r="G75" s="52"/>
      <c r="H75" s="52"/>
      <c r="I75" s="52"/>
      <c r="J75" s="53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" x14ac:dyDescent="0.25">
      <c r="A76" s="59"/>
      <c r="B76" s="116" t="s">
        <v>73</v>
      </c>
      <c r="C76" s="115"/>
      <c r="D76" s="52"/>
      <c r="E76" s="52"/>
      <c r="F76" s="52"/>
      <c r="G76" s="52"/>
      <c r="H76" s="52"/>
      <c r="I76" s="52"/>
      <c r="J76" s="53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" x14ac:dyDescent="0.25">
      <c r="A77" s="59"/>
      <c r="B77" s="130" t="s">
        <v>52</v>
      </c>
      <c r="C77" s="119" t="s">
        <v>53</v>
      </c>
      <c r="D77" s="52"/>
      <c r="E77" s="52"/>
      <c r="F77" s="52"/>
      <c r="G77" s="52"/>
      <c r="H77" s="52"/>
      <c r="I77" s="52"/>
      <c r="J77" s="53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" x14ac:dyDescent="0.25">
      <c r="A78" s="59"/>
      <c r="B78" s="131">
        <v>350</v>
      </c>
      <c r="C78" s="129" t="s">
        <v>70</v>
      </c>
      <c r="D78" s="52"/>
      <c r="E78" s="52"/>
      <c r="F78" s="52"/>
      <c r="G78" s="52"/>
      <c r="H78" s="52"/>
      <c r="I78" s="52"/>
      <c r="J78" s="53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" x14ac:dyDescent="0.25">
      <c r="A79" s="59"/>
      <c r="B79" s="115"/>
      <c r="C79" s="115"/>
      <c r="D79" s="52"/>
      <c r="E79" s="52"/>
      <c r="F79" s="52"/>
      <c r="G79" s="52"/>
      <c r="H79" s="52"/>
      <c r="I79" s="52"/>
      <c r="J79" s="53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" x14ac:dyDescent="0.25">
      <c r="A80" s="59"/>
      <c r="B80" s="116" t="s">
        <v>74</v>
      </c>
      <c r="C80" s="115"/>
      <c r="D80" s="52"/>
      <c r="E80" s="52"/>
      <c r="F80" s="52"/>
      <c r="G80" s="52"/>
      <c r="H80" s="52"/>
      <c r="I80" s="52"/>
      <c r="J80" s="53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" x14ac:dyDescent="0.25">
      <c r="A81" s="59"/>
      <c r="B81" s="130" t="s">
        <v>52</v>
      </c>
      <c r="C81" s="119" t="s">
        <v>53</v>
      </c>
      <c r="D81" s="52"/>
      <c r="E81" s="52"/>
      <c r="F81" s="52"/>
      <c r="G81" s="52"/>
      <c r="H81" s="52"/>
      <c r="I81" s="52"/>
      <c r="J81" s="53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" x14ac:dyDescent="0.25">
      <c r="A82" s="59"/>
      <c r="B82" s="131">
        <v>650</v>
      </c>
      <c r="C82" s="129" t="s">
        <v>75</v>
      </c>
      <c r="D82" s="52"/>
      <c r="E82" s="52"/>
      <c r="F82" s="52"/>
      <c r="G82" s="52"/>
      <c r="H82" s="52"/>
      <c r="I82" s="52"/>
      <c r="J82" s="53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" x14ac:dyDescent="0.25">
      <c r="A83" s="59"/>
      <c r="B83" s="115"/>
      <c r="C83" s="115"/>
      <c r="D83" s="52"/>
      <c r="E83" s="52"/>
      <c r="F83" s="52"/>
      <c r="G83" s="52"/>
      <c r="H83" s="52"/>
      <c r="I83" s="52"/>
      <c r="J83" s="53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" x14ac:dyDescent="0.25">
      <c r="A84" s="59"/>
      <c r="B84" s="116" t="s">
        <v>76</v>
      </c>
      <c r="C84" s="115"/>
      <c r="D84" s="52"/>
      <c r="E84" s="52"/>
      <c r="F84" s="52"/>
      <c r="G84" s="52"/>
      <c r="H84" s="52"/>
      <c r="I84" s="52"/>
      <c r="J84" s="53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" x14ac:dyDescent="0.25">
      <c r="A85" s="59"/>
      <c r="B85" s="130" t="s">
        <v>52</v>
      </c>
      <c r="C85" s="119" t="s">
        <v>53</v>
      </c>
      <c r="D85" s="52"/>
      <c r="E85" s="52"/>
      <c r="F85" s="52"/>
      <c r="G85" s="52"/>
      <c r="H85" s="52"/>
      <c r="I85" s="52"/>
      <c r="J85" s="53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" x14ac:dyDescent="0.25">
      <c r="A86" s="59"/>
      <c r="B86" s="131">
        <v>150</v>
      </c>
      <c r="C86" s="129" t="s">
        <v>77</v>
      </c>
      <c r="D86" s="52"/>
      <c r="E86" s="52"/>
      <c r="F86" s="52"/>
      <c r="G86" s="52"/>
      <c r="H86" s="52"/>
      <c r="I86" s="52"/>
      <c r="J86" s="53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" x14ac:dyDescent="0.25">
      <c r="A87" s="59"/>
      <c r="B87" s="115"/>
      <c r="C87" s="115"/>
      <c r="D87" s="52"/>
      <c r="E87" s="52"/>
      <c r="F87" s="52"/>
      <c r="G87" s="52"/>
      <c r="H87" s="52"/>
      <c r="I87" s="52"/>
      <c r="J87" s="53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" x14ac:dyDescent="0.25">
      <c r="A88" s="59"/>
      <c r="B88" s="116" t="s">
        <v>175</v>
      </c>
      <c r="C88" s="115"/>
      <c r="D88" s="52"/>
      <c r="E88" s="52"/>
      <c r="F88" s="52"/>
      <c r="G88" s="52"/>
      <c r="H88" s="52"/>
      <c r="I88" s="52"/>
      <c r="J88" s="53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" x14ac:dyDescent="0.25">
      <c r="A89" s="59"/>
      <c r="B89" s="130" t="s">
        <v>52</v>
      </c>
      <c r="C89" s="119" t="s">
        <v>53</v>
      </c>
      <c r="D89" s="52"/>
      <c r="E89" s="52"/>
      <c r="F89" s="52"/>
      <c r="G89" s="52"/>
      <c r="H89" s="52"/>
      <c r="I89" s="52"/>
      <c r="J89" s="53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" x14ac:dyDescent="0.25">
      <c r="A90" s="59"/>
      <c r="B90" s="131">
        <v>140</v>
      </c>
      <c r="C90" s="129" t="s">
        <v>79</v>
      </c>
      <c r="D90" s="52"/>
      <c r="E90" s="52"/>
      <c r="F90" s="52"/>
      <c r="G90" s="52"/>
      <c r="H90" s="52"/>
      <c r="I90" s="52"/>
      <c r="J90" s="53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" x14ac:dyDescent="0.25">
      <c r="A91" s="59"/>
      <c r="B91" s="115"/>
      <c r="C91" s="115"/>
      <c r="D91" s="52"/>
      <c r="E91" s="52"/>
      <c r="F91" s="52"/>
      <c r="G91" s="52"/>
      <c r="H91" s="52"/>
      <c r="I91" s="52"/>
      <c r="J91" s="53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" x14ac:dyDescent="0.25">
      <c r="A92" s="59"/>
      <c r="B92" s="116" t="s">
        <v>83</v>
      </c>
      <c r="C92" s="115"/>
      <c r="D92" s="52"/>
      <c r="E92" s="52"/>
      <c r="F92" s="52"/>
      <c r="G92" s="52"/>
      <c r="H92" s="52"/>
      <c r="I92" s="52"/>
      <c r="J92" s="53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" x14ac:dyDescent="0.25">
      <c r="A93" s="59"/>
      <c r="B93" s="130" t="s">
        <v>52</v>
      </c>
      <c r="C93" s="119" t="s">
        <v>53</v>
      </c>
      <c r="D93" s="52"/>
      <c r="E93" s="52"/>
      <c r="F93" s="52"/>
      <c r="G93" s="52"/>
      <c r="H93" s="52"/>
      <c r="I93" s="52"/>
      <c r="J93" s="53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" x14ac:dyDescent="0.25">
      <c r="A94" s="59"/>
      <c r="B94" s="131">
        <v>700</v>
      </c>
      <c r="C94" s="129" t="s">
        <v>80</v>
      </c>
      <c r="D94" s="52"/>
      <c r="E94" s="52"/>
      <c r="F94" s="52"/>
      <c r="G94" s="52"/>
      <c r="H94" s="52"/>
      <c r="I94" s="52"/>
      <c r="J94" s="53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thickBot="1" x14ac:dyDescent="0.3">
      <c r="A95" s="60"/>
      <c r="B95" s="54"/>
      <c r="C95" s="54"/>
      <c r="D95" s="54"/>
      <c r="E95" s="54"/>
      <c r="F95" s="54"/>
      <c r="G95" s="54"/>
      <c r="H95" s="54"/>
      <c r="I95" s="54"/>
      <c r="J95" s="55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" x14ac:dyDescent="0.25">
      <c r="B96"/>
      <c r="C96" s="6"/>
      <c r="D96" s="6"/>
      <c r="E96" s="6"/>
      <c r="F96" s="6"/>
      <c r="G96" s="6"/>
      <c r="H96" s="6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2:26" ht="15" x14ac:dyDescent="0.25">
      <c r="B97"/>
      <c r="C97" s="6"/>
      <c r="D97" s="6"/>
      <c r="E97" s="6"/>
      <c r="F97" s="6"/>
      <c r="G97" s="6"/>
      <c r="H97" s="6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2:26" ht="15" x14ac:dyDescent="0.25">
      <c r="B98"/>
      <c r="C98" s="6"/>
      <c r="D98" s="6"/>
      <c r="E98" s="6"/>
      <c r="F98" s="6"/>
      <c r="G98" s="6"/>
      <c r="H98" s="6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2:26" ht="15" x14ac:dyDescent="0.25">
      <c r="B99"/>
      <c r="C99" s="6"/>
      <c r="D99" s="6"/>
      <c r="E99" s="6"/>
      <c r="F99" s="6"/>
      <c r="G99" s="6"/>
      <c r="H99" s="6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2:26" ht="15" x14ac:dyDescent="0.25">
      <c r="B100"/>
      <c r="C100" s="6"/>
      <c r="D100" s="6"/>
      <c r="E100" s="6"/>
      <c r="F100" s="6"/>
      <c r="G100" s="6"/>
      <c r="H100" s="6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2:26" ht="15" x14ac:dyDescent="0.25">
      <c r="B101"/>
      <c r="C101" s="6"/>
      <c r="D101" s="6"/>
      <c r="E101" s="6"/>
      <c r="F101" s="6"/>
      <c r="G101" s="6"/>
      <c r="H101" s="6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2:26" ht="15" x14ac:dyDescent="0.25">
      <c r="B102"/>
      <c r="C102" s="6"/>
      <c r="D102" s="6"/>
      <c r="E102" s="6"/>
      <c r="F102" s="6"/>
      <c r="G102" s="6"/>
      <c r="H102" s="6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2:26" ht="15" x14ac:dyDescent="0.25">
      <c r="B103"/>
      <c r="C103" s="6"/>
      <c r="D103" s="6"/>
      <c r="E103" s="6"/>
      <c r="F103" s="6"/>
      <c r="G103" s="6"/>
      <c r="H103" s="6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2:26" ht="15" x14ac:dyDescent="0.25">
      <c r="B104"/>
      <c r="C104" s="6"/>
      <c r="D104" s="6"/>
      <c r="E104" s="6"/>
      <c r="F104" s="6"/>
      <c r="G104" s="6"/>
      <c r="H104" s="6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2:26" ht="15" x14ac:dyDescent="0.25">
      <c r="B105"/>
      <c r="C105" s="6"/>
      <c r="D105" s="6"/>
      <c r="E105" s="6"/>
      <c r="F105" s="6"/>
      <c r="G105" s="6"/>
      <c r="H105" s="6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2:26" ht="15" x14ac:dyDescent="0.25">
      <c r="B106"/>
      <c r="C106" s="6"/>
      <c r="D106" s="6"/>
      <c r="E106" s="6"/>
      <c r="F106" s="6"/>
      <c r="G106" s="6"/>
      <c r="H106" s="6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2:26" ht="15" x14ac:dyDescent="0.25">
      <c r="B107"/>
      <c r="C107" s="6"/>
      <c r="D107" s="6"/>
      <c r="E107" s="6"/>
      <c r="F107" s="6"/>
      <c r="G107" s="6"/>
      <c r="H107" s="6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2:26" ht="15" x14ac:dyDescent="0.25">
      <c r="B108"/>
      <c r="C108" s="6"/>
      <c r="D108" s="6"/>
      <c r="E108" s="6"/>
      <c r="F108" s="6"/>
      <c r="G108" s="6"/>
      <c r="H108" s="6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2:26" ht="15" x14ac:dyDescent="0.25">
      <c r="B109"/>
      <c r="C109" s="6"/>
      <c r="D109" s="6"/>
      <c r="E109" s="6"/>
      <c r="F109" s="6"/>
      <c r="G109" s="6"/>
      <c r="H109" s="6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2:26" ht="15" x14ac:dyDescent="0.25">
      <c r="B110"/>
      <c r="C110" s="6"/>
      <c r="D110" s="6"/>
      <c r="E110" s="6"/>
      <c r="F110" s="6"/>
      <c r="G110" s="6"/>
      <c r="H110" s="6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2:26" ht="15" x14ac:dyDescent="0.25">
      <c r="B111"/>
      <c r="C111" s="6"/>
      <c r="D111" s="6"/>
      <c r="E111" s="6"/>
      <c r="F111" s="6"/>
      <c r="G111" s="6"/>
      <c r="H111" s="6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2:26" ht="15" x14ac:dyDescent="0.25">
      <c r="B112"/>
      <c r="C112" s="6"/>
      <c r="D112" s="6"/>
      <c r="E112" s="6"/>
      <c r="F112" s="6"/>
      <c r="G112" s="6"/>
      <c r="H112" s="6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2:26" ht="15" x14ac:dyDescent="0.25">
      <c r="B113"/>
      <c r="C113" s="6"/>
      <c r="D113" s="6"/>
      <c r="E113" s="6"/>
      <c r="F113" s="6"/>
      <c r="G113" s="6"/>
      <c r="H113" s="6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2:26" ht="15" x14ac:dyDescent="0.25">
      <c r="B114"/>
      <c r="C114" s="6"/>
      <c r="D114" s="6"/>
      <c r="E114" s="6"/>
      <c r="F114" s="6"/>
      <c r="G114" s="6"/>
      <c r="H114" s="6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2:26" ht="15" x14ac:dyDescent="0.25">
      <c r="B115"/>
      <c r="C115" s="6"/>
      <c r="D115" s="6"/>
      <c r="E115" s="6"/>
      <c r="F115" s="6"/>
      <c r="G115" s="6"/>
      <c r="H115" s="6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2:26" ht="15" x14ac:dyDescent="0.25">
      <c r="B116"/>
      <c r="C116" s="6"/>
      <c r="D116" s="6"/>
      <c r="E116" s="6"/>
      <c r="F116" s="6"/>
      <c r="G116" s="6"/>
      <c r="H116" s="6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2:26" ht="15" x14ac:dyDescent="0.25">
      <c r="B117"/>
      <c r="C117" s="6"/>
      <c r="D117" s="6"/>
      <c r="E117" s="6"/>
      <c r="F117" s="6"/>
      <c r="G117" s="6"/>
      <c r="H117" s="6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2:26" ht="15" x14ac:dyDescent="0.25">
      <c r="B118"/>
      <c r="C118" s="6"/>
      <c r="D118" s="6"/>
      <c r="E118" s="6"/>
      <c r="F118" s="6"/>
      <c r="G118" s="6"/>
      <c r="H118" s="6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2:26" ht="15" x14ac:dyDescent="0.25">
      <c r="B119"/>
      <c r="C119" s="6"/>
      <c r="D119" s="6"/>
      <c r="E119" s="6"/>
      <c r="F119" s="6"/>
      <c r="G119" s="6"/>
      <c r="H119" s="6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2:26" ht="15" x14ac:dyDescent="0.25">
      <c r="B120"/>
      <c r="C120" s="6"/>
      <c r="D120" s="6"/>
      <c r="E120" s="6"/>
      <c r="F120" s="6"/>
      <c r="G120" s="6"/>
      <c r="H120" s="6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2:26" ht="15" x14ac:dyDescent="0.25">
      <c r="B121"/>
      <c r="C121" s="6"/>
      <c r="D121" s="6"/>
      <c r="E121" s="6"/>
      <c r="F121" s="6"/>
      <c r="G121" s="6"/>
      <c r="H121" s="6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2:26" ht="15" x14ac:dyDescent="0.25">
      <c r="B122"/>
      <c r="C122" s="6"/>
      <c r="D122" s="6"/>
      <c r="E122" s="6"/>
      <c r="F122" s="6"/>
      <c r="G122" s="6"/>
      <c r="H122" s="6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2:26" ht="15" x14ac:dyDescent="0.25">
      <c r="B123"/>
      <c r="C123" s="6"/>
      <c r="D123" s="6"/>
      <c r="E123" s="6"/>
      <c r="F123" s="6"/>
      <c r="G123" s="6"/>
      <c r="H123" s="6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2:26" ht="15" x14ac:dyDescent="0.25">
      <c r="B124"/>
      <c r="C124" s="6"/>
      <c r="D124" s="6"/>
      <c r="E124" s="6"/>
      <c r="F124" s="6"/>
      <c r="G124" s="6"/>
      <c r="H124" s="6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2:26" ht="15" x14ac:dyDescent="0.25">
      <c r="B125"/>
      <c r="C125" s="6"/>
      <c r="D125" s="6"/>
      <c r="E125" s="6"/>
      <c r="F125" s="6"/>
      <c r="G125" s="6"/>
      <c r="H125" s="6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2:26" ht="15" x14ac:dyDescent="0.25">
      <c r="B126"/>
      <c r="C126" s="6"/>
      <c r="D126" s="6"/>
      <c r="E126" s="6"/>
      <c r="F126" s="6"/>
      <c r="G126" s="6"/>
      <c r="H126" s="6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2:26" ht="15" x14ac:dyDescent="0.25">
      <c r="B127"/>
      <c r="C127" s="6"/>
      <c r="D127" s="6"/>
      <c r="E127" s="6"/>
      <c r="F127" s="6"/>
      <c r="G127" s="6"/>
      <c r="H127" s="6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2:26" ht="15" x14ac:dyDescent="0.25">
      <c r="B128"/>
      <c r="C128" s="6"/>
      <c r="D128" s="6"/>
      <c r="E128" s="6"/>
      <c r="F128" s="6"/>
      <c r="G128" s="6"/>
      <c r="H128" s="6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2:26" ht="15" x14ac:dyDescent="0.25">
      <c r="B129"/>
      <c r="C129" s="6"/>
      <c r="D129" s="6"/>
      <c r="E129" s="6"/>
      <c r="F129" s="6"/>
      <c r="G129" s="6"/>
      <c r="H129" s="6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2:26" ht="15" x14ac:dyDescent="0.25">
      <c r="B130"/>
      <c r="C130" s="6"/>
      <c r="D130" s="6"/>
      <c r="E130" s="6"/>
      <c r="F130" s="6"/>
      <c r="G130" s="6"/>
      <c r="H130" s="6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2:26" ht="15" x14ac:dyDescent="0.25">
      <c r="B131"/>
      <c r="C131" s="6"/>
      <c r="D131" s="6"/>
      <c r="E131" s="6"/>
      <c r="F131" s="6"/>
      <c r="G131" s="6"/>
      <c r="H131" s="6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2:26" ht="15" x14ac:dyDescent="0.25">
      <c r="B132"/>
      <c r="C132" s="6"/>
      <c r="D132" s="6"/>
      <c r="E132" s="6"/>
      <c r="F132" s="6"/>
      <c r="G132" s="6"/>
      <c r="H132" s="6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2:26" ht="15" x14ac:dyDescent="0.25">
      <c r="B133"/>
      <c r="C133" s="6"/>
      <c r="D133" s="6"/>
      <c r="E133" s="6"/>
      <c r="F133" s="6"/>
      <c r="G133" s="6"/>
      <c r="H133" s="6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2:26" ht="15" x14ac:dyDescent="0.25">
      <c r="B134"/>
      <c r="C134" s="6"/>
      <c r="D134" s="6"/>
      <c r="E134" s="6"/>
      <c r="F134" s="6"/>
      <c r="G134" s="6"/>
      <c r="H134" s="6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2:26" ht="15" x14ac:dyDescent="0.25">
      <c r="B135"/>
      <c r="C135" s="6"/>
      <c r="D135" s="6"/>
      <c r="E135" s="6"/>
      <c r="F135" s="6"/>
      <c r="G135" s="6"/>
      <c r="H135" s="6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2:26" ht="15" x14ac:dyDescent="0.25">
      <c r="B136"/>
      <c r="C136" s="6"/>
      <c r="D136" s="6"/>
      <c r="E136" s="6"/>
      <c r="F136" s="6"/>
      <c r="G136" s="6"/>
      <c r="H136" s="6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2:26" ht="15" x14ac:dyDescent="0.25">
      <c r="B137"/>
      <c r="C137" s="6"/>
      <c r="D137" s="6"/>
      <c r="E137" s="6"/>
      <c r="F137" s="6"/>
      <c r="G137" s="6"/>
      <c r="H137" s="6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2:26" ht="15" x14ac:dyDescent="0.25">
      <c r="B138"/>
      <c r="C138" s="6"/>
      <c r="D138" s="6"/>
      <c r="E138" s="6"/>
      <c r="F138" s="6"/>
      <c r="G138" s="6"/>
      <c r="H138" s="6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2:26" ht="15" x14ac:dyDescent="0.25">
      <c r="B139"/>
      <c r="C139" s="6"/>
      <c r="D139" s="6"/>
      <c r="E139" s="6"/>
      <c r="F139" s="6"/>
      <c r="G139" s="6"/>
      <c r="H139" s="6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2:26" ht="15" x14ac:dyDescent="0.25">
      <c r="B140"/>
      <c r="C140" s="6"/>
      <c r="D140" s="6"/>
      <c r="E140" s="6"/>
      <c r="F140" s="6"/>
      <c r="G140" s="6"/>
      <c r="H140" s="6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2:26" ht="15" x14ac:dyDescent="0.25">
      <c r="B141"/>
      <c r="C141" s="6"/>
      <c r="D141" s="6"/>
      <c r="E141" s="6"/>
      <c r="F141" s="6"/>
      <c r="G141" s="6"/>
      <c r="H141" s="6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2:26" ht="15" x14ac:dyDescent="0.25">
      <c r="B142"/>
      <c r="C142" s="6"/>
      <c r="D142" s="6"/>
      <c r="E142" s="6"/>
      <c r="F142" s="6"/>
      <c r="G142" s="6"/>
      <c r="H142" s="6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2:26" ht="15" x14ac:dyDescent="0.25">
      <c r="B143"/>
      <c r="C143" s="6"/>
      <c r="D143" s="6"/>
      <c r="E143" s="6"/>
      <c r="F143" s="6"/>
      <c r="G143" s="6"/>
      <c r="H143" s="6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2:26" ht="15" x14ac:dyDescent="0.25">
      <c r="B144"/>
      <c r="C144" s="6"/>
      <c r="D144" s="6"/>
      <c r="E144" s="6"/>
      <c r="F144" s="6"/>
      <c r="G144" s="6"/>
      <c r="H144" s="6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2:26" ht="15" x14ac:dyDescent="0.25">
      <c r="B145"/>
      <c r="C145" s="6"/>
      <c r="D145" s="6"/>
      <c r="E145" s="6"/>
      <c r="F145" s="6"/>
      <c r="G145" s="6"/>
      <c r="H145" s="6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2:26" ht="15" x14ac:dyDescent="0.25">
      <c r="B146"/>
      <c r="C146" s="6"/>
      <c r="D146" s="6"/>
      <c r="E146" s="6"/>
      <c r="F146" s="6"/>
      <c r="G146" s="6"/>
      <c r="H146" s="6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2:26" ht="15" x14ac:dyDescent="0.25">
      <c r="B147"/>
      <c r="C147" s="6"/>
      <c r="D147" s="6"/>
      <c r="E147" s="6"/>
      <c r="F147" s="6"/>
      <c r="G147" s="6"/>
      <c r="H147" s="6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2:26" ht="15" x14ac:dyDescent="0.25">
      <c r="B148"/>
      <c r="C148" s="6"/>
      <c r="D148" s="6"/>
      <c r="E148" s="6"/>
      <c r="F148" s="6"/>
      <c r="G148" s="6"/>
      <c r="H148" s="6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2:26" ht="15" x14ac:dyDescent="0.25">
      <c r="B149"/>
      <c r="C149" s="6"/>
      <c r="D149" s="6"/>
      <c r="E149" s="6"/>
      <c r="F149" s="6"/>
      <c r="G149" s="6"/>
      <c r="H149" s="6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2:26" ht="15" x14ac:dyDescent="0.25">
      <c r="B150"/>
      <c r="C150" s="6"/>
      <c r="D150" s="6"/>
      <c r="E150" s="6"/>
      <c r="F150" s="6"/>
      <c r="G150" s="6"/>
      <c r="H150" s="6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2:26" ht="15" x14ac:dyDescent="0.25">
      <c r="B151"/>
      <c r="C151" s="6"/>
      <c r="D151" s="6"/>
      <c r="E151" s="6"/>
      <c r="F151" s="6"/>
      <c r="G151" s="6"/>
      <c r="H151" s="6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2:26" ht="15" x14ac:dyDescent="0.25">
      <c r="B152"/>
      <c r="C152" s="6"/>
      <c r="D152" s="6"/>
      <c r="E152" s="6"/>
      <c r="F152" s="6"/>
      <c r="G152" s="6"/>
      <c r="H152" s="6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2:26" ht="15" x14ac:dyDescent="0.25">
      <c r="B153"/>
      <c r="C153" s="6"/>
      <c r="D153" s="6"/>
      <c r="E153" s="6"/>
      <c r="F153" s="6"/>
      <c r="G153" s="6"/>
      <c r="H153" s="6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2:26" ht="15" x14ac:dyDescent="0.25">
      <c r="B154"/>
      <c r="C154" s="6"/>
      <c r="D154" s="6"/>
      <c r="E154" s="6"/>
      <c r="F154" s="6"/>
      <c r="G154" s="6"/>
      <c r="H154" s="6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2:26" ht="15" x14ac:dyDescent="0.25">
      <c r="B155"/>
      <c r="C155" s="6"/>
      <c r="D155" s="6"/>
      <c r="E155" s="6"/>
      <c r="F155" s="6"/>
      <c r="G155" s="6"/>
      <c r="H155" s="6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2:26" ht="15" x14ac:dyDescent="0.25">
      <c r="B156"/>
      <c r="C156" s="6"/>
      <c r="D156" s="6"/>
      <c r="E156" s="6"/>
      <c r="F156" s="6"/>
      <c r="G156" s="6"/>
      <c r="H156" s="6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2:26" ht="15" x14ac:dyDescent="0.25">
      <c r="B157"/>
      <c r="C157" s="6"/>
      <c r="D157" s="6"/>
      <c r="E157" s="6"/>
      <c r="F157" s="6"/>
      <c r="G157" s="6"/>
      <c r="H157" s="6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2:26" ht="15" x14ac:dyDescent="0.25">
      <c r="B158"/>
      <c r="C158" s="6"/>
      <c r="D158" s="6"/>
      <c r="E158" s="6"/>
      <c r="F158" s="6"/>
      <c r="G158" s="6"/>
      <c r="H158" s="6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2:26" ht="15" x14ac:dyDescent="0.25">
      <c r="B159"/>
      <c r="C159" s="6"/>
      <c r="D159" s="6"/>
      <c r="E159" s="6"/>
      <c r="F159" s="6"/>
      <c r="G159" s="6"/>
      <c r="H159" s="6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2:26" ht="15" x14ac:dyDescent="0.25">
      <c r="B160"/>
      <c r="C160" s="6"/>
      <c r="D160" s="6"/>
      <c r="E160" s="6"/>
      <c r="F160" s="6"/>
      <c r="G160" s="6"/>
      <c r="H160" s="6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2:26" ht="15" x14ac:dyDescent="0.25">
      <c r="B161"/>
      <c r="C161" s="6"/>
      <c r="D161" s="6"/>
      <c r="E161" s="6"/>
      <c r="F161" s="6"/>
      <c r="G161" s="6"/>
      <c r="H161" s="6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2:26" ht="15" x14ac:dyDescent="0.25">
      <c r="B162"/>
      <c r="C162" s="6"/>
      <c r="D162" s="6"/>
      <c r="E162" s="6"/>
      <c r="F162" s="6"/>
      <c r="G162" s="6"/>
      <c r="H162" s="6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2:26" ht="15" x14ac:dyDescent="0.25">
      <c r="B163"/>
      <c r="C163" s="6"/>
      <c r="D163" s="6"/>
      <c r="E163" s="6"/>
      <c r="F163" s="6"/>
      <c r="G163" s="6"/>
      <c r="H163" s="6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2:26" ht="15" x14ac:dyDescent="0.25">
      <c r="B164"/>
      <c r="C164" s="6"/>
      <c r="D164" s="6"/>
      <c r="E164" s="6"/>
      <c r="F164" s="6"/>
      <c r="G164" s="6"/>
      <c r="H164" s="6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2:26" ht="15" x14ac:dyDescent="0.25">
      <c r="B165"/>
      <c r="C165" s="6"/>
      <c r="D165" s="6"/>
      <c r="E165" s="6"/>
      <c r="F165" s="6"/>
      <c r="G165" s="6"/>
      <c r="H165" s="6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2:26" ht="15" x14ac:dyDescent="0.25">
      <c r="B166"/>
      <c r="C166" s="6"/>
      <c r="D166" s="6"/>
      <c r="E166" s="6"/>
      <c r="F166" s="6"/>
      <c r="G166" s="6"/>
      <c r="H166" s="6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2:26" ht="15" x14ac:dyDescent="0.25">
      <c r="B167"/>
      <c r="C167" s="6"/>
      <c r="D167" s="6"/>
      <c r="E167" s="6"/>
      <c r="F167" s="6"/>
      <c r="G167" s="6"/>
      <c r="H167" s="6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2:26" ht="15" x14ac:dyDescent="0.25">
      <c r="B168"/>
      <c r="C168" s="6"/>
      <c r="D168" s="6"/>
      <c r="E168" s="6"/>
      <c r="F168" s="6"/>
      <c r="G168" s="6"/>
      <c r="H168" s="6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2:26" ht="15" x14ac:dyDescent="0.25">
      <c r="B169"/>
      <c r="C169" s="6"/>
      <c r="D169" s="6"/>
      <c r="E169" s="6"/>
      <c r="F169" s="6"/>
      <c r="G169" s="6"/>
      <c r="H169" s="6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2:26" ht="15" x14ac:dyDescent="0.25">
      <c r="B170"/>
      <c r="C170" s="6"/>
      <c r="D170" s="6"/>
      <c r="E170" s="6"/>
      <c r="F170" s="6"/>
      <c r="G170" s="6"/>
      <c r="H170" s="6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2:26" ht="15" x14ac:dyDescent="0.25">
      <c r="B171"/>
      <c r="C171" s="6"/>
      <c r="D171" s="6"/>
      <c r="E171" s="6"/>
      <c r="F171" s="6"/>
      <c r="G171" s="6"/>
      <c r="H171" s="6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2:26" ht="15" x14ac:dyDescent="0.25">
      <c r="B172"/>
      <c r="C172" s="6"/>
      <c r="D172" s="6"/>
      <c r="E172" s="6"/>
      <c r="F172" s="6"/>
      <c r="G172" s="6"/>
      <c r="H172" s="6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2:26" ht="15" x14ac:dyDescent="0.25">
      <c r="B173"/>
      <c r="C173" s="6"/>
      <c r="D173" s="6"/>
      <c r="E173" s="6"/>
      <c r="F173" s="6"/>
      <c r="G173" s="6"/>
      <c r="H173" s="6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2:26" ht="15" x14ac:dyDescent="0.25">
      <c r="B174"/>
      <c r="C174" s="6"/>
      <c r="D174" s="6"/>
      <c r="E174" s="6"/>
      <c r="F174" s="6"/>
      <c r="G174" s="6"/>
      <c r="H174" s="6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2:26" ht="15" x14ac:dyDescent="0.25">
      <c r="B175"/>
      <c r="C175" s="6"/>
      <c r="D175" s="6"/>
      <c r="E175" s="6"/>
      <c r="F175" s="6"/>
      <c r="G175" s="6"/>
      <c r="H175" s="6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2:26" ht="15" x14ac:dyDescent="0.25">
      <c r="B176"/>
      <c r="C176" s="6"/>
      <c r="D176" s="6"/>
      <c r="E176" s="6"/>
      <c r="F176" s="6"/>
      <c r="G176" s="6"/>
      <c r="H176" s="6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2:26" ht="15" x14ac:dyDescent="0.25">
      <c r="B177"/>
      <c r="C177" s="6"/>
      <c r="D177" s="6"/>
      <c r="E177" s="6"/>
      <c r="F177" s="6"/>
      <c r="G177" s="6"/>
      <c r="H177" s="6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2:26" ht="15" x14ac:dyDescent="0.25">
      <c r="B178"/>
      <c r="C178" s="6"/>
      <c r="D178" s="6"/>
      <c r="E178" s="6"/>
      <c r="F178" s="6"/>
      <c r="G178" s="6"/>
      <c r="H178" s="6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2:26" ht="15" x14ac:dyDescent="0.25">
      <c r="B179"/>
      <c r="C179" s="6"/>
      <c r="D179" s="6"/>
      <c r="E179" s="6"/>
      <c r="F179" s="6"/>
      <c r="G179" s="6"/>
      <c r="H179" s="6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2:26" ht="15" x14ac:dyDescent="0.25">
      <c r="B180"/>
      <c r="C180" s="6"/>
      <c r="D180" s="6"/>
      <c r="E180" s="6"/>
      <c r="F180" s="6"/>
      <c r="G180" s="6"/>
      <c r="H180" s="6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2:26" ht="15" x14ac:dyDescent="0.25">
      <c r="B181"/>
      <c r="C181" s="6"/>
      <c r="D181" s="6"/>
      <c r="E181" s="6"/>
      <c r="F181" s="6"/>
      <c r="G181" s="6"/>
      <c r="H181" s="6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2:26" ht="15" x14ac:dyDescent="0.25">
      <c r="B182"/>
      <c r="C182" s="6"/>
      <c r="D182" s="6"/>
      <c r="E182" s="6"/>
      <c r="F182" s="6"/>
      <c r="G182" s="6"/>
      <c r="H182" s="6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2:26" ht="15" x14ac:dyDescent="0.25">
      <c r="B183"/>
      <c r="C183" s="6"/>
      <c r="D183" s="6"/>
      <c r="E183" s="6"/>
      <c r="F183" s="6"/>
      <c r="G183" s="6"/>
      <c r="H183" s="6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2:26" ht="15" x14ac:dyDescent="0.25">
      <c r="B184"/>
      <c r="C184" s="6"/>
      <c r="D184" s="6"/>
      <c r="E184" s="6"/>
      <c r="F184" s="6"/>
      <c r="G184" s="6"/>
      <c r="H184" s="6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2:26" ht="15" x14ac:dyDescent="0.25">
      <c r="B185"/>
      <c r="C185" s="6"/>
      <c r="D185" s="6"/>
      <c r="E185" s="6"/>
      <c r="F185" s="6"/>
      <c r="G185" s="6"/>
      <c r="H185" s="6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2:26" ht="15" x14ac:dyDescent="0.25">
      <c r="B186"/>
      <c r="C186" s="6"/>
      <c r="D186" s="6"/>
      <c r="E186" s="6"/>
      <c r="F186" s="6"/>
      <c r="G186" s="6"/>
      <c r="H186" s="6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2:26" ht="15" x14ac:dyDescent="0.25">
      <c r="B187"/>
      <c r="C187" s="6"/>
      <c r="D187" s="6"/>
      <c r="E187" s="6"/>
      <c r="F187" s="6"/>
      <c r="G187" s="6"/>
      <c r="H187" s="6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2:26" ht="15" x14ac:dyDescent="0.25">
      <c r="B188"/>
      <c r="C188" s="6"/>
      <c r="D188" s="6"/>
      <c r="E188" s="6"/>
      <c r="F188" s="6"/>
      <c r="G188" s="6"/>
      <c r="H188" s="6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2:26" ht="15" x14ac:dyDescent="0.25">
      <c r="B189"/>
      <c r="C189" s="6"/>
      <c r="D189" s="6"/>
      <c r="E189" s="6"/>
      <c r="F189" s="6"/>
      <c r="G189" s="6"/>
      <c r="H189" s="6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2:26" ht="15" x14ac:dyDescent="0.25">
      <c r="B190"/>
      <c r="C190" s="6"/>
      <c r="D190" s="6"/>
      <c r="E190" s="6"/>
      <c r="F190" s="6"/>
      <c r="G190" s="6"/>
      <c r="H190" s="6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2:26" ht="15" x14ac:dyDescent="0.25">
      <c r="B191"/>
      <c r="C191" s="6"/>
      <c r="D191" s="6"/>
      <c r="E191" s="6"/>
      <c r="F191" s="6"/>
      <c r="G191" s="6"/>
      <c r="H191" s="6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2:26" ht="15" x14ac:dyDescent="0.25">
      <c r="B192"/>
      <c r="C192" s="6"/>
      <c r="D192" s="6"/>
      <c r="E192" s="6"/>
      <c r="F192" s="6"/>
      <c r="G192" s="6"/>
      <c r="H192" s="6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2:26" ht="15" x14ac:dyDescent="0.25">
      <c r="B193"/>
      <c r="C193" s="6"/>
      <c r="D193" s="6"/>
      <c r="E193" s="6"/>
      <c r="F193" s="6"/>
      <c r="G193" s="6"/>
      <c r="H193" s="6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2:26" ht="15" x14ac:dyDescent="0.25">
      <c r="B194"/>
      <c r="C194" s="6"/>
      <c r="D194" s="6"/>
      <c r="E194" s="6"/>
      <c r="F194" s="6"/>
      <c r="G194" s="6"/>
      <c r="H194" s="6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2:26" ht="15" x14ac:dyDescent="0.25">
      <c r="B195"/>
      <c r="C195" s="6"/>
      <c r="D195" s="6"/>
      <c r="E195" s="6"/>
      <c r="F195" s="6"/>
      <c r="G195" s="6"/>
      <c r="H195" s="6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2:26" ht="15" x14ac:dyDescent="0.25">
      <c r="B196"/>
      <c r="C196" s="6"/>
      <c r="D196" s="6"/>
      <c r="E196" s="6"/>
      <c r="F196" s="6"/>
      <c r="G196" s="6"/>
      <c r="H196" s="6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2:26" ht="15" x14ac:dyDescent="0.25">
      <c r="B197"/>
      <c r="C197" s="6"/>
      <c r="D197" s="6"/>
      <c r="E197" s="6"/>
      <c r="F197" s="6"/>
      <c r="G197" s="6"/>
      <c r="H197" s="6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2:26" ht="15" x14ac:dyDescent="0.25">
      <c r="B198"/>
      <c r="C198" s="6"/>
      <c r="D198" s="6"/>
      <c r="E198" s="6"/>
      <c r="F198" s="6"/>
      <c r="G198" s="6"/>
      <c r="H198" s="6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2:26" ht="15" x14ac:dyDescent="0.25">
      <c r="B199"/>
      <c r="C199" s="6"/>
      <c r="D199" s="6"/>
      <c r="E199" s="6"/>
      <c r="F199" s="6"/>
      <c r="G199" s="6"/>
      <c r="H199" s="6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2:26" ht="15" x14ac:dyDescent="0.25">
      <c r="B200"/>
      <c r="C200" s="6"/>
      <c r="D200" s="6"/>
      <c r="E200" s="6"/>
      <c r="F200" s="6"/>
      <c r="G200" s="6"/>
      <c r="H200" s="6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2:26" ht="15" x14ac:dyDescent="0.25">
      <c r="B201"/>
      <c r="C201" s="6"/>
      <c r="D201" s="6"/>
      <c r="E201" s="6"/>
      <c r="F201" s="6"/>
      <c r="G201" s="6"/>
      <c r="H201" s="6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2:26" ht="15" x14ac:dyDescent="0.25">
      <c r="B202"/>
      <c r="C202" s="6"/>
      <c r="D202" s="6"/>
      <c r="E202" s="6"/>
      <c r="F202" s="6"/>
      <c r="G202" s="6"/>
      <c r="H202" s="6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2:26" ht="15" x14ac:dyDescent="0.25">
      <c r="B203"/>
      <c r="C203" s="6"/>
      <c r="D203" s="6"/>
      <c r="E203" s="6"/>
      <c r="F203" s="6"/>
      <c r="G203" s="6"/>
      <c r="H203" s="6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2:26" ht="15" x14ac:dyDescent="0.25">
      <c r="B204"/>
      <c r="C204" s="6"/>
      <c r="D204" s="6"/>
      <c r="E204" s="6"/>
      <c r="F204" s="6"/>
      <c r="G204" s="6"/>
      <c r="H204" s="6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2:26" ht="15" x14ac:dyDescent="0.25">
      <c r="B205"/>
      <c r="C205" s="6"/>
      <c r="D205" s="6"/>
      <c r="E205" s="6"/>
      <c r="F205" s="6"/>
      <c r="G205" s="6"/>
      <c r="H205" s="6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2:26" ht="15" x14ac:dyDescent="0.25">
      <c r="B206"/>
      <c r="C206" s="6"/>
      <c r="D206" s="6"/>
      <c r="E206" s="6"/>
      <c r="F206" s="6"/>
      <c r="G206" s="6"/>
      <c r="H206" s="6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2:26" ht="15" x14ac:dyDescent="0.25">
      <c r="B207"/>
      <c r="C207" s="6"/>
      <c r="D207" s="6"/>
      <c r="E207" s="6"/>
      <c r="F207" s="6"/>
      <c r="G207" s="6"/>
      <c r="H207" s="6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2:26" ht="15" x14ac:dyDescent="0.25">
      <c r="B208"/>
      <c r="C208" s="6"/>
      <c r="D208" s="6"/>
      <c r="E208" s="6"/>
      <c r="F208" s="6"/>
      <c r="G208" s="6"/>
      <c r="H208" s="6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2:26" ht="15" x14ac:dyDescent="0.25">
      <c r="B209"/>
      <c r="C209" s="6"/>
      <c r="D209" s="6"/>
      <c r="E209" s="6"/>
      <c r="F209" s="6"/>
      <c r="G209" s="6"/>
      <c r="H209" s="6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2:26" ht="15" x14ac:dyDescent="0.25">
      <c r="B210"/>
      <c r="C210" s="6"/>
      <c r="D210" s="6"/>
      <c r="E210" s="6"/>
      <c r="F210" s="6"/>
      <c r="G210" s="6"/>
      <c r="H210" s="6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2:26" ht="15" x14ac:dyDescent="0.25">
      <c r="B211"/>
      <c r="C211" s="6"/>
      <c r="D211" s="6"/>
      <c r="E211" s="6"/>
      <c r="F211" s="6"/>
      <c r="G211" s="6"/>
      <c r="H211" s="6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2:26" ht="15" x14ac:dyDescent="0.25">
      <c r="B212"/>
      <c r="C212" s="6"/>
      <c r="D212" s="6"/>
      <c r="E212" s="6"/>
      <c r="F212" s="6"/>
      <c r="G212" s="6"/>
      <c r="H212" s="6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2:26" ht="15" x14ac:dyDescent="0.25">
      <c r="B213"/>
      <c r="C213" s="6"/>
      <c r="D213" s="6"/>
      <c r="E213" s="6"/>
      <c r="F213" s="6"/>
      <c r="G213" s="6"/>
      <c r="H213" s="6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2:26" ht="15" x14ac:dyDescent="0.25">
      <c r="B214"/>
      <c r="C214" s="6"/>
      <c r="D214" s="6"/>
      <c r="E214" s="6"/>
      <c r="F214" s="6"/>
      <c r="G214" s="6"/>
      <c r="H214" s="6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2:26" ht="15" x14ac:dyDescent="0.25">
      <c r="B215"/>
      <c r="C215" s="6"/>
      <c r="D215" s="6"/>
      <c r="E215" s="6"/>
      <c r="F215" s="6"/>
      <c r="G215" s="6"/>
      <c r="H215" s="6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2:26" ht="15" x14ac:dyDescent="0.25">
      <c r="B216"/>
      <c r="C216" s="6"/>
      <c r="D216" s="6"/>
      <c r="E216" s="6"/>
      <c r="F216" s="6"/>
      <c r="G216" s="6"/>
      <c r="H216" s="6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2:26" ht="15" x14ac:dyDescent="0.25">
      <c r="B217"/>
      <c r="C217" s="6"/>
      <c r="D217" s="6"/>
      <c r="E217" s="6"/>
      <c r="F217" s="6"/>
      <c r="G217" s="6"/>
      <c r="H217" s="6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2:26" ht="15" x14ac:dyDescent="0.25">
      <c r="B218"/>
      <c r="C218" s="6"/>
      <c r="D218" s="6"/>
      <c r="E218" s="6"/>
      <c r="F218" s="6"/>
      <c r="G218" s="6"/>
      <c r="H218" s="6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2:26" ht="15" x14ac:dyDescent="0.25">
      <c r="B219"/>
      <c r="C219" s="6"/>
      <c r="D219" s="6"/>
      <c r="E219" s="6"/>
      <c r="F219" s="6"/>
      <c r="G219" s="6"/>
      <c r="H219" s="6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2:26" ht="15" x14ac:dyDescent="0.25">
      <c r="B220"/>
      <c r="C220" s="6"/>
      <c r="D220" s="6"/>
      <c r="E220" s="6"/>
      <c r="F220" s="6"/>
      <c r="G220" s="6"/>
      <c r="H220" s="6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2:26" ht="15" x14ac:dyDescent="0.25">
      <c r="B221"/>
      <c r="C221" s="6"/>
      <c r="D221" s="6"/>
      <c r="E221" s="6"/>
      <c r="F221" s="6"/>
      <c r="G221" s="6"/>
      <c r="H221" s="6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2:26" ht="15" x14ac:dyDescent="0.25">
      <c r="B222"/>
      <c r="C222" s="6"/>
      <c r="D222" s="6"/>
      <c r="E222" s="6"/>
      <c r="F222" s="6"/>
      <c r="G222" s="6"/>
      <c r="H222" s="6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2:26" ht="15" x14ac:dyDescent="0.25">
      <c r="B223"/>
      <c r="C223" s="6"/>
      <c r="D223" s="6"/>
      <c r="E223" s="6"/>
      <c r="F223" s="6"/>
      <c r="G223" s="6"/>
      <c r="H223" s="6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2:26" ht="15" x14ac:dyDescent="0.25">
      <c r="B224"/>
      <c r="C224" s="6"/>
      <c r="D224" s="6"/>
      <c r="E224" s="6"/>
      <c r="F224" s="6"/>
      <c r="G224" s="6"/>
      <c r="H224" s="6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2:26" ht="15" x14ac:dyDescent="0.25">
      <c r="B225"/>
      <c r="C225" s="6"/>
      <c r="D225" s="6"/>
      <c r="E225" s="6"/>
      <c r="F225" s="6"/>
      <c r="G225" s="6"/>
      <c r="H225" s="6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2:26" ht="15" x14ac:dyDescent="0.25">
      <c r="B226"/>
      <c r="C226" s="6"/>
      <c r="D226" s="6"/>
      <c r="E226" s="6"/>
      <c r="F226" s="6"/>
      <c r="G226" s="6"/>
      <c r="H226" s="6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2:26" ht="15" x14ac:dyDescent="0.25">
      <c r="B227"/>
      <c r="C227" s="6"/>
      <c r="D227" s="6"/>
      <c r="E227" s="6"/>
      <c r="F227" s="6"/>
      <c r="G227" s="6"/>
      <c r="H227" s="6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2:26" ht="15" x14ac:dyDescent="0.25">
      <c r="B228"/>
      <c r="C228" s="6"/>
      <c r="D228" s="6"/>
      <c r="E228" s="6"/>
      <c r="F228" s="6"/>
      <c r="G228" s="6"/>
      <c r="H228" s="6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2:26" ht="15" x14ac:dyDescent="0.25">
      <c r="B229"/>
      <c r="C229" s="6"/>
      <c r="D229" s="6"/>
      <c r="E229" s="6"/>
      <c r="F229" s="6"/>
      <c r="G229" s="6"/>
      <c r="H229" s="6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2:26" ht="15" x14ac:dyDescent="0.25">
      <c r="B230"/>
      <c r="C230" s="6"/>
      <c r="D230" s="6"/>
      <c r="E230" s="6"/>
      <c r="F230" s="6"/>
      <c r="G230" s="6"/>
      <c r="H230" s="6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2:26" ht="15" x14ac:dyDescent="0.25">
      <c r="B231"/>
      <c r="C231" s="6"/>
      <c r="D231" s="6"/>
      <c r="E231" s="6"/>
      <c r="F231" s="6"/>
      <c r="G231" s="6"/>
      <c r="H231" s="6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2:26" ht="15" x14ac:dyDescent="0.25">
      <c r="B232"/>
      <c r="C232" s="6"/>
      <c r="D232" s="6"/>
      <c r="E232" s="6"/>
      <c r="F232" s="6"/>
      <c r="G232" s="6"/>
      <c r="H232" s="6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2:26" ht="15" x14ac:dyDescent="0.25">
      <c r="B233"/>
      <c r="C233" s="6"/>
      <c r="D233" s="6"/>
      <c r="E233" s="6"/>
      <c r="F233" s="6"/>
      <c r="G233" s="6"/>
      <c r="H233" s="6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2:26" ht="15" x14ac:dyDescent="0.25">
      <c r="B234"/>
      <c r="C234" s="6"/>
      <c r="D234" s="6"/>
      <c r="E234" s="6"/>
      <c r="F234" s="6"/>
      <c r="G234" s="6"/>
      <c r="H234" s="6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2:26" ht="15" x14ac:dyDescent="0.25">
      <c r="B235"/>
      <c r="C235" s="6"/>
      <c r="D235" s="6"/>
      <c r="E235" s="6"/>
      <c r="F235" s="6"/>
      <c r="G235" s="6"/>
      <c r="H235" s="6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2:26" ht="15" x14ac:dyDescent="0.25">
      <c r="B236"/>
      <c r="C236" s="6"/>
      <c r="D236" s="6"/>
      <c r="E236" s="6"/>
      <c r="F236" s="6"/>
      <c r="G236" s="6"/>
      <c r="H236" s="6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2:26" ht="15" x14ac:dyDescent="0.25">
      <c r="B237"/>
      <c r="C237" s="6"/>
      <c r="D237" s="6"/>
      <c r="E237" s="6"/>
      <c r="F237" s="6"/>
      <c r="G237" s="6"/>
      <c r="H237" s="6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2:26" ht="15" x14ac:dyDescent="0.25">
      <c r="B238"/>
      <c r="C238" s="6"/>
      <c r="D238" s="6"/>
      <c r="E238" s="6"/>
      <c r="F238" s="6"/>
      <c r="G238" s="6"/>
      <c r="H238" s="6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2:26" ht="15" x14ac:dyDescent="0.25">
      <c r="B239"/>
      <c r="C239" s="6"/>
      <c r="D239" s="6"/>
      <c r="E239" s="6"/>
      <c r="F239" s="6"/>
      <c r="G239" s="6"/>
      <c r="H239" s="6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2:26" ht="15" x14ac:dyDescent="0.25">
      <c r="B240"/>
      <c r="C240" s="6"/>
      <c r="D240" s="6"/>
      <c r="E240" s="6"/>
      <c r="F240" s="6"/>
      <c r="G240" s="6"/>
      <c r="H240" s="6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2:26" ht="15" x14ac:dyDescent="0.25">
      <c r="B241"/>
      <c r="C241" s="6"/>
      <c r="D241" s="6"/>
      <c r="E241" s="6"/>
      <c r="F241" s="6"/>
      <c r="G241" s="6"/>
      <c r="H241" s="6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2:26" ht="15" x14ac:dyDescent="0.25">
      <c r="B242"/>
      <c r="C242" s="6"/>
      <c r="D242" s="6"/>
      <c r="E242" s="6"/>
      <c r="F242" s="6"/>
      <c r="G242" s="6"/>
      <c r="H242" s="6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2:26" ht="15" x14ac:dyDescent="0.25">
      <c r="B243"/>
      <c r="C243" s="6"/>
      <c r="D243" s="6"/>
      <c r="E243" s="6"/>
      <c r="F243" s="6"/>
      <c r="G243" s="6"/>
      <c r="H243" s="6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2:26" ht="15" x14ac:dyDescent="0.25">
      <c r="B244"/>
      <c r="C244" s="6"/>
      <c r="D244" s="6"/>
      <c r="E244" s="6"/>
      <c r="F244" s="6"/>
      <c r="G244" s="6"/>
      <c r="H244" s="6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2:26" ht="15" x14ac:dyDescent="0.25">
      <c r="B245"/>
      <c r="C245" s="6"/>
      <c r="D245" s="6"/>
      <c r="E245" s="6"/>
      <c r="F245" s="6"/>
      <c r="G245" s="6"/>
      <c r="H245" s="6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2:26" ht="15" x14ac:dyDescent="0.25">
      <c r="B246"/>
      <c r="C246" s="6"/>
      <c r="D246" s="6"/>
      <c r="E246" s="6"/>
      <c r="F246" s="6"/>
      <c r="G246" s="6"/>
      <c r="H246" s="6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2:26" ht="15" x14ac:dyDescent="0.25">
      <c r="B247"/>
      <c r="C247" s="6"/>
      <c r="D247" s="6"/>
      <c r="E247" s="6"/>
      <c r="F247" s="6"/>
      <c r="G247" s="6"/>
      <c r="H247" s="6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2:26" ht="15" x14ac:dyDescent="0.25">
      <c r="B248"/>
      <c r="C248" s="6"/>
      <c r="D248" s="6"/>
      <c r="E248" s="6"/>
      <c r="F248" s="6"/>
      <c r="G248" s="6"/>
      <c r="H248" s="6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2:26" ht="15" x14ac:dyDescent="0.25">
      <c r="B249"/>
      <c r="C249" s="6"/>
      <c r="D249" s="6"/>
      <c r="E249" s="6"/>
      <c r="F249" s="6"/>
      <c r="G249" s="6"/>
      <c r="H249" s="6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2:26" ht="15" x14ac:dyDescent="0.25">
      <c r="B250"/>
      <c r="C250" s="6"/>
      <c r="D250" s="6"/>
      <c r="E250" s="6"/>
      <c r="F250" s="6"/>
      <c r="G250" s="6"/>
      <c r="H250" s="6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2:26" ht="15" x14ac:dyDescent="0.25">
      <c r="B251"/>
      <c r="C251" s="6"/>
      <c r="D251" s="6"/>
      <c r="E251" s="6"/>
      <c r="F251" s="6"/>
      <c r="G251" s="6"/>
      <c r="H251" s="6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2:26" ht="15" x14ac:dyDescent="0.25">
      <c r="B252"/>
      <c r="C252" s="6"/>
      <c r="D252" s="6"/>
      <c r="E252" s="6"/>
      <c r="F252" s="6"/>
      <c r="G252" s="6"/>
      <c r="H252" s="6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2:26" ht="15" x14ac:dyDescent="0.25">
      <c r="B253"/>
      <c r="C253" s="6"/>
      <c r="D253" s="6"/>
      <c r="E253" s="6"/>
      <c r="F253" s="6"/>
      <c r="G253" s="6"/>
      <c r="H253" s="6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2:26" ht="15" x14ac:dyDescent="0.25">
      <c r="B254"/>
      <c r="C254" s="6"/>
      <c r="D254" s="6"/>
      <c r="E254" s="6"/>
      <c r="F254" s="6"/>
      <c r="G254" s="6"/>
      <c r="H254" s="6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2:26" ht="15" x14ac:dyDescent="0.25">
      <c r="B255"/>
      <c r="C255" s="6"/>
      <c r="D255" s="6"/>
      <c r="E255" s="6"/>
      <c r="F255" s="6"/>
      <c r="G255" s="6"/>
      <c r="H255" s="6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2:26" ht="15" x14ac:dyDescent="0.25">
      <c r="B256"/>
      <c r="C256" s="6"/>
      <c r="D256" s="6"/>
      <c r="E256" s="6"/>
      <c r="F256" s="6"/>
      <c r="G256" s="6"/>
      <c r="H256" s="6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2:26" ht="15" x14ac:dyDescent="0.25">
      <c r="B257"/>
      <c r="C257" s="6"/>
      <c r="D257" s="6"/>
      <c r="E257" s="6"/>
      <c r="F257" s="6"/>
      <c r="G257" s="6"/>
      <c r="H257" s="6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2:26" ht="15" x14ac:dyDescent="0.25">
      <c r="B258"/>
      <c r="C258" s="6"/>
      <c r="D258" s="6"/>
      <c r="E258" s="6"/>
      <c r="F258" s="6"/>
      <c r="G258" s="6"/>
      <c r="H258" s="6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2:26" ht="15" x14ac:dyDescent="0.25">
      <c r="B259"/>
      <c r="C259" s="6"/>
      <c r="D259" s="6"/>
      <c r="E259" s="6"/>
      <c r="F259" s="6"/>
      <c r="G259" s="6"/>
      <c r="H259" s="6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2:26" ht="15" x14ac:dyDescent="0.25">
      <c r="B260"/>
      <c r="C260" s="6"/>
      <c r="D260" s="6"/>
      <c r="E260" s="6"/>
      <c r="F260" s="6"/>
      <c r="G260" s="6"/>
      <c r="H260" s="6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2:26" ht="15" x14ac:dyDescent="0.25">
      <c r="B261"/>
      <c r="C261" s="6"/>
      <c r="D261" s="6"/>
      <c r="E261" s="6"/>
      <c r="F261" s="6"/>
      <c r="G261" s="6"/>
      <c r="H261" s="6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2:26" ht="15" x14ac:dyDescent="0.25">
      <c r="B262"/>
      <c r="C262" s="6"/>
      <c r="D262" s="6"/>
      <c r="E262" s="6"/>
      <c r="F262" s="6"/>
      <c r="G262" s="6"/>
      <c r="H262" s="6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2:26" ht="15" x14ac:dyDescent="0.25">
      <c r="B263"/>
      <c r="C263" s="6"/>
      <c r="D263" s="6"/>
      <c r="E263" s="6"/>
      <c r="F263" s="6"/>
      <c r="G263" s="6"/>
      <c r="H263" s="6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2:26" ht="15" x14ac:dyDescent="0.25">
      <c r="B264"/>
      <c r="C264" s="6"/>
      <c r="D264" s="6"/>
      <c r="E264" s="6"/>
      <c r="F264" s="6"/>
      <c r="G264" s="6"/>
      <c r="H264" s="6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2:26" ht="15" x14ac:dyDescent="0.25">
      <c r="B265"/>
      <c r="C265" s="6"/>
      <c r="D265" s="6"/>
      <c r="E265" s="6"/>
      <c r="F265" s="6"/>
      <c r="G265" s="6"/>
      <c r="H265" s="6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2:26" ht="15" x14ac:dyDescent="0.25">
      <c r="B266"/>
      <c r="C266" s="6"/>
      <c r="D266" s="6"/>
      <c r="E266" s="6"/>
      <c r="F266" s="6"/>
      <c r="G266" s="6"/>
      <c r="H266" s="6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2:26" ht="15" x14ac:dyDescent="0.25">
      <c r="B267"/>
      <c r="C267" s="6"/>
      <c r="D267" s="6"/>
      <c r="E267" s="6"/>
      <c r="F267" s="6"/>
      <c r="G267" s="6"/>
      <c r="H267" s="6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2:26" ht="15" x14ac:dyDescent="0.25">
      <c r="B268"/>
      <c r="C268" s="6"/>
      <c r="D268" s="6"/>
      <c r="E268" s="6"/>
      <c r="F268" s="6"/>
      <c r="G268" s="6"/>
      <c r="H268" s="6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2:26" ht="15" x14ac:dyDescent="0.25">
      <c r="B269"/>
      <c r="C269" s="6"/>
      <c r="D269" s="6"/>
      <c r="E269" s="6"/>
      <c r="F269" s="6"/>
      <c r="G269" s="6"/>
      <c r="H269" s="6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2:26" ht="15" x14ac:dyDescent="0.25">
      <c r="B270"/>
      <c r="C270" s="6"/>
      <c r="D270" s="6"/>
      <c r="E270" s="6"/>
      <c r="F270" s="6"/>
      <c r="G270" s="6"/>
      <c r="H270" s="6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2:26" ht="15" x14ac:dyDescent="0.25">
      <c r="B271"/>
      <c r="C271" s="6"/>
      <c r="D271" s="6"/>
      <c r="E271" s="6"/>
      <c r="F271" s="6"/>
      <c r="G271" s="6"/>
      <c r="H271" s="6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2:26" ht="15" x14ac:dyDescent="0.25">
      <c r="B272"/>
      <c r="C272" s="6"/>
      <c r="D272" s="6"/>
      <c r="E272" s="6"/>
      <c r="F272" s="6"/>
      <c r="G272" s="6"/>
      <c r="H272" s="6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2:26" ht="15" x14ac:dyDescent="0.25">
      <c r="B273"/>
      <c r="C273" s="6"/>
      <c r="D273" s="6"/>
      <c r="E273" s="6"/>
      <c r="F273" s="6"/>
      <c r="G273" s="6"/>
      <c r="H273" s="6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2:26" ht="15" x14ac:dyDescent="0.25">
      <c r="B274"/>
      <c r="C274" s="6"/>
      <c r="D274" s="6"/>
      <c r="E274" s="6"/>
      <c r="F274" s="6"/>
      <c r="G274" s="6"/>
      <c r="H274" s="6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2:26" ht="15" x14ac:dyDescent="0.25">
      <c r="B275"/>
      <c r="C275" s="6"/>
      <c r="D275" s="6"/>
      <c r="E275" s="6"/>
      <c r="F275" s="6"/>
      <c r="G275" s="6"/>
      <c r="H275" s="6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2:26" ht="15" x14ac:dyDescent="0.25">
      <c r="B276"/>
      <c r="C276" s="6"/>
      <c r="D276" s="6"/>
      <c r="E276" s="6"/>
      <c r="F276" s="6"/>
      <c r="G276" s="6"/>
      <c r="H276" s="6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2:26" ht="15" x14ac:dyDescent="0.25">
      <c r="B277"/>
      <c r="C277" s="6"/>
      <c r="D277" s="6"/>
      <c r="E277" s="6"/>
      <c r="F277" s="6"/>
      <c r="G277" s="6"/>
      <c r="H277" s="6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2:26" ht="15" x14ac:dyDescent="0.25">
      <c r="B278"/>
      <c r="C278" s="6"/>
      <c r="D278" s="6"/>
      <c r="E278" s="6"/>
      <c r="F278" s="6"/>
      <c r="G278" s="6"/>
      <c r="H278" s="6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2:26" ht="15" x14ac:dyDescent="0.25">
      <c r="B279"/>
      <c r="C279" s="6"/>
      <c r="D279" s="6"/>
      <c r="E279" s="6"/>
      <c r="F279" s="6"/>
      <c r="G279" s="6"/>
      <c r="H279" s="6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2:26" ht="15" x14ac:dyDescent="0.25">
      <c r="B280"/>
      <c r="C280" s="6"/>
      <c r="D280" s="6"/>
      <c r="E280" s="6"/>
      <c r="F280" s="6"/>
      <c r="G280" s="6"/>
      <c r="H280" s="6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2:26" ht="15" x14ac:dyDescent="0.25">
      <c r="B281"/>
      <c r="C281" s="6"/>
      <c r="D281" s="6"/>
      <c r="E281" s="6"/>
      <c r="F281" s="6"/>
      <c r="G281" s="6"/>
      <c r="H281" s="6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2:26" ht="15" x14ac:dyDescent="0.25">
      <c r="B282"/>
      <c r="C282" s="6"/>
      <c r="D282" s="6"/>
      <c r="E282" s="6"/>
      <c r="F282" s="6"/>
      <c r="G282" s="6"/>
      <c r="H282" s="6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2:26" ht="15" x14ac:dyDescent="0.25">
      <c r="B283"/>
      <c r="C283" s="6"/>
      <c r="D283" s="6"/>
      <c r="E283" s="6"/>
      <c r="F283" s="6"/>
      <c r="G283" s="6"/>
      <c r="H283" s="6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2:26" ht="15" x14ac:dyDescent="0.25">
      <c r="B284"/>
      <c r="C284" s="6"/>
      <c r="D284" s="6"/>
      <c r="E284" s="6"/>
      <c r="F284" s="6"/>
      <c r="G284" s="6"/>
      <c r="H284" s="6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2:26" ht="15" x14ac:dyDescent="0.25">
      <c r="B285"/>
      <c r="C285" s="6"/>
      <c r="D285" s="6"/>
      <c r="E285" s="6"/>
      <c r="F285" s="6"/>
      <c r="G285" s="6"/>
      <c r="H285" s="6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2:26" ht="15" x14ac:dyDescent="0.25">
      <c r="B286"/>
      <c r="C286" s="6"/>
      <c r="D286" s="6"/>
      <c r="E286" s="6"/>
      <c r="F286" s="6"/>
      <c r="G286" s="6"/>
      <c r="H286" s="6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2:26" ht="15" x14ac:dyDescent="0.25">
      <c r="B287"/>
      <c r="C287" s="6"/>
      <c r="D287" s="6"/>
      <c r="E287" s="6"/>
      <c r="F287" s="6"/>
      <c r="G287" s="6"/>
      <c r="H287" s="6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2:26" ht="15" x14ac:dyDescent="0.25">
      <c r="B288"/>
      <c r="C288" s="6"/>
      <c r="D288" s="6"/>
      <c r="E288" s="6"/>
      <c r="F288" s="6"/>
      <c r="G288" s="6"/>
      <c r="H288" s="6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2:26" ht="15" x14ac:dyDescent="0.25">
      <c r="B289"/>
      <c r="C289" s="6"/>
      <c r="D289" s="6"/>
      <c r="E289" s="6"/>
      <c r="F289" s="6"/>
      <c r="G289" s="6"/>
      <c r="H289" s="6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2:26" ht="15" x14ac:dyDescent="0.25">
      <c r="B290"/>
      <c r="C290" s="6"/>
      <c r="D290" s="6"/>
      <c r="E290" s="6"/>
      <c r="F290" s="6"/>
      <c r="G290" s="6"/>
      <c r="H290" s="6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2:26" ht="15" x14ac:dyDescent="0.25">
      <c r="B291"/>
      <c r="C291" s="6"/>
      <c r="D291" s="6"/>
      <c r="E291" s="6"/>
      <c r="F291" s="6"/>
      <c r="G291" s="6"/>
      <c r="H291" s="6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2:26" ht="15" x14ac:dyDescent="0.25">
      <c r="B292"/>
      <c r="C292" s="6"/>
      <c r="D292" s="6"/>
      <c r="E292" s="6"/>
      <c r="F292" s="6"/>
      <c r="G292" s="6"/>
      <c r="H292" s="6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2:26" ht="15" x14ac:dyDescent="0.25">
      <c r="B293"/>
      <c r="C293" s="6"/>
      <c r="D293" s="6"/>
      <c r="E293" s="6"/>
      <c r="F293" s="6"/>
      <c r="G293" s="6"/>
      <c r="H293" s="6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2:26" ht="15" x14ac:dyDescent="0.25">
      <c r="B294"/>
      <c r="C294" s="6"/>
      <c r="D294" s="6"/>
      <c r="E294" s="6"/>
      <c r="F294" s="6"/>
      <c r="G294" s="6"/>
      <c r="H294" s="6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2:26" ht="15" x14ac:dyDescent="0.25">
      <c r="B295"/>
      <c r="C295" s="6"/>
      <c r="D295" s="6"/>
      <c r="E295" s="6"/>
      <c r="F295" s="6"/>
      <c r="G295" s="6"/>
      <c r="H295" s="6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2:26" ht="15" x14ac:dyDescent="0.25">
      <c r="B296"/>
      <c r="C296" s="6"/>
      <c r="D296" s="6"/>
      <c r="E296" s="6"/>
      <c r="F296" s="6"/>
      <c r="G296" s="6"/>
      <c r="H296" s="6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2:26" ht="15" x14ac:dyDescent="0.25">
      <c r="B297"/>
      <c r="C297" s="6"/>
      <c r="D297" s="6"/>
      <c r="E297" s="6"/>
      <c r="F297" s="6"/>
      <c r="G297" s="6"/>
      <c r="H297" s="6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2:26" ht="15" x14ac:dyDescent="0.25">
      <c r="B298"/>
      <c r="C298" s="6"/>
      <c r="D298" s="6"/>
      <c r="E298" s="6"/>
      <c r="F298" s="6"/>
      <c r="G298" s="6"/>
      <c r="H298" s="6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2:26" ht="15" x14ac:dyDescent="0.25">
      <c r="B299"/>
      <c r="C299" s="6"/>
      <c r="D299" s="6"/>
      <c r="E299" s="6"/>
      <c r="F299" s="6"/>
      <c r="G299" s="6"/>
      <c r="H299" s="6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2:26" ht="15" x14ac:dyDescent="0.25">
      <c r="B300"/>
      <c r="C300" s="6"/>
      <c r="D300" s="6"/>
      <c r="E300" s="6"/>
      <c r="F300" s="6"/>
      <c r="G300" s="6"/>
      <c r="H300" s="6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2:26" ht="15" x14ac:dyDescent="0.25">
      <c r="B301"/>
      <c r="C301" s="6"/>
      <c r="D301" s="6"/>
      <c r="E301" s="6"/>
      <c r="F301" s="6"/>
      <c r="G301" s="6"/>
      <c r="H301" s="6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2:26" ht="15" x14ac:dyDescent="0.25">
      <c r="B302"/>
      <c r="C302" s="6"/>
      <c r="D302" s="6"/>
      <c r="E302" s="6"/>
      <c r="F302" s="6"/>
      <c r="G302" s="6"/>
      <c r="H302" s="6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2:26" ht="15" x14ac:dyDescent="0.25">
      <c r="B303"/>
      <c r="C303" s="6"/>
      <c r="D303" s="6"/>
      <c r="E303" s="6"/>
      <c r="F303" s="6"/>
      <c r="G303" s="6"/>
      <c r="H303" s="6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</sheetData>
  <sheetProtection algorithmName="SHA-512" hashValue="p+Uv3NH+80dOdQeDi6LRQkBGah99X7MaQhMqzf7eDom9k3xQkgMCd+bwmHFruvL9HX8FMDkiKhKKs5ZvzMrtIA==" saltValue="K3t5pF9ghkZ9+gs7OtYYjA==" spinCount="100000" sheet="1" selectLockedCells="1"/>
  <mergeCells count="1">
    <mergeCell ref="B1:J1"/>
  </mergeCells>
  <conditionalFormatting sqref="E14">
    <cfRule type="expression" dxfId="178" priority="22">
      <formula>$B$14=""</formula>
    </cfRule>
    <cfRule type="expression" dxfId="177" priority="47">
      <formula>ISERROR(INDIRECT(AB14))</formula>
    </cfRule>
  </conditionalFormatting>
  <conditionalFormatting sqref="F14">
    <cfRule type="expression" dxfId="176" priority="46">
      <formula>ISERROR(INDIRECT(AB14))</formula>
    </cfRule>
  </conditionalFormatting>
  <conditionalFormatting sqref="E15">
    <cfRule type="expression" dxfId="175" priority="21">
      <formula>$B$15=""</formula>
    </cfRule>
    <cfRule type="expression" dxfId="174" priority="45">
      <formula>ISERROR(INDIRECT(AB15))</formula>
    </cfRule>
  </conditionalFormatting>
  <conditionalFormatting sqref="E16">
    <cfRule type="expression" dxfId="173" priority="20">
      <formula>$B$16=""</formula>
    </cfRule>
    <cfRule type="expression" dxfId="172" priority="43">
      <formula>ISERROR(INDIRECT(AB16))</formula>
    </cfRule>
  </conditionalFormatting>
  <conditionalFormatting sqref="E17">
    <cfRule type="expression" dxfId="171" priority="19">
      <formula>$B$17=""</formula>
    </cfRule>
    <cfRule type="expression" dxfId="170" priority="41">
      <formula>ISERROR(INDIRECT(AB17))</formula>
    </cfRule>
  </conditionalFormatting>
  <conditionalFormatting sqref="E18">
    <cfRule type="expression" dxfId="169" priority="18">
      <formula>$B$18=""</formula>
    </cfRule>
    <cfRule type="expression" dxfId="168" priority="39">
      <formula>ISERROR(INDIRECT(AB18))</formula>
    </cfRule>
  </conditionalFormatting>
  <conditionalFormatting sqref="H14">
    <cfRule type="expression" dxfId="167" priority="37">
      <formula>$B14=""</formula>
    </cfRule>
  </conditionalFormatting>
  <conditionalFormatting sqref="K15:Z15">
    <cfRule type="expression" dxfId="166" priority="36">
      <formula>$B$15=""</formula>
    </cfRule>
  </conditionalFormatting>
  <conditionalFormatting sqref="K16:Z16">
    <cfRule type="expression" dxfId="165" priority="35">
      <formula>$B$16=""</formula>
    </cfRule>
  </conditionalFormatting>
  <conditionalFormatting sqref="K17:Z17">
    <cfRule type="expression" dxfId="164" priority="34">
      <formula>$B$17=""</formula>
    </cfRule>
  </conditionalFormatting>
  <conditionalFormatting sqref="K18:Z18">
    <cfRule type="expression" dxfId="163" priority="33">
      <formula>$B$18=""</formula>
    </cfRule>
  </conditionalFormatting>
  <conditionalFormatting sqref="G14">
    <cfRule type="expression" dxfId="162" priority="32">
      <formula>$B14=""</formula>
    </cfRule>
  </conditionalFormatting>
  <conditionalFormatting sqref="F15">
    <cfRule type="expression" dxfId="161" priority="17">
      <formula>ISERROR(INDIRECT(AB15))</formula>
    </cfRule>
  </conditionalFormatting>
  <conditionalFormatting sqref="F16">
    <cfRule type="expression" dxfId="160" priority="16">
      <formula>ISERROR(INDIRECT(AB16))</formula>
    </cfRule>
  </conditionalFormatting>
  <conditionalFormatting sqref="F17">
    <cfRule type="expression" dxfId="159" priority="15">
      <formula>ISERROR(INDIRECT(AB17))</formula>
    </cfRule>
  </conditionalFormatting>
  <conditionalFormatting sqref="F18">
    <cfRule type="expression" dxfId="158" priority="14">
      <formula>ISERROR(INDIRECT(AB18))</formula>
    </cfRule>
  </conditionalFormatting>
  <conditionalFormatting sqref="G15">
    <cfRule type="expression" dxfId="157" priority="13">
      <formula>$B15=""</formula>
    </cfRule>
  </conditionalFormatting>
  <conditionalFormatting sqref="G16">
    <cfRule type="expression" dxfId="156" priority="12">
      <formula>$B16=""</formula>
    </cfRule>
  </conditionalFormatting>
  <conditionalFormatting sqref="G17">
    <cfRule type="expression" dxfId="155" priority="11">
      <formula>$B17=""</formula>
    </cfRule>
  </conditionalFormatting>
  <conditionalFormatting sqref="G18">
    <cfRule type="expression" dxfId="154" priority="10">
      <formula>$B18=""</formula>
    </cfRule>
  </conditionalFormatting>
  <conditionalFormatting sqref="H15">
    <cfRule type="expression" dxfId="153" priority="9">
      <formula>$B15=""</formula>
    </cfRule>
  </conditionalFormatting>
  <conditionalFormatting sqref="H16">
    <cfRule type="expression" dxfId="152" priority="8">
      <formula>$B16=""</formula>
    </cfRule>
  </conditionalFormatting>
  <conditionalFormatting sqref="H17">
    <cfRule type="expression" dxfId="151" priority="7">
      <formula>$B17=""</formula>
    </cfRule>
  </conditionalFormatting>
  <conditionalFormatting sqref="H18">
    <cfRule type="expression" dxfId="150" priority="6">
      <formula>$B18=""</formula>
    </cfRule>
  </conditionalFormatting>
  <conditionalFormatting sqref="D14">
    <cfRule type="expression" dxfId="149" priority="5">
      <formula>$B14=""</formula>
    </cfRule>
  </conditionalFormatting>
  <conditionalFormatting sqref="D15">
    <cfRule type="expression" dxfId="148" priority="4">
      <formula>$B15=""</formula>
    </cfRule>
  </conditionalFormatting>
  <conditionalFormatting sqref="D16">
    <cfRule type="expression" dxfId="147" priority="3">
      <formula>$B16=""</formula>
    </cfRule>
  </conditionalFormatting>
  <conditionalFormatting sqref="D17">
    <cfRule type="expression" dxfId="146" priority="2">
      <formula>$B17=""</formula>
    </cfRule>
  </conditionalFormatting>
  <conditionalFormatting sqref="D18">
    <cfRule type="expression" dxfId="145" priority="1">
      <formula>$B18=""</formula>
    </cfRule>
  </conditionalFormatting>
  <dataValidations count="2">
    <dataValidation type="list" allowBlank="1" showInputMessage="1" showErrorMessage="1" sqref="B14:B18" xr:uid="{00000000-0002-0000-0500-000000000000}">
      <formula1>User_Measures_Dropdown</formula1>
    </dataValidation>
    <dataValidation type="list" allowBlank="1" showInputMessage="1" showErrorMessage="1" sqref="E14:E18" xr:uid="{00000000-0002-0000-0500-000001000000}">
      <formula1>INDIRECT(AB14)</formula1>
    </dataValidation>
  </dataValidations>
  <pageMargins left="0.7" right="0.7" top="0.75" bottom="0.75" header="0.3" footer="0.3"/>
  <pageSetup orientation="portrait" r:id="rId1"/>
  <ignoredErrors>
    <ignoredError sqref="D15:D18 D14 F14:F18 G14:G18" evalError="1"/>
    <ignoredError sqref="E15:E16 E18" listDataValidation="1"/>
  </ignoredErrors>
  <picture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AA17"/>
  <sheetViews>
    <sheetView showGridLines="0" showRowColHeaders="0" topLeftCell="A3" workbookViewId="0">
      <selection activeCell="D3" sqref="D3:F3"/>
    </sheetView>
  </sheetViews>
  <sheetFormatPr defaultRowHeight="15" x14ac:dyDescent="0.25"/>
  <cols>
    <col min="1" max="1" width="1.42578125" customWidth="1"/>
    <col min="2" max="2" width="34.28515625" customWidth="1"/>
    <col min="3" max="5" width="18.85546875" style="6" customWidth="1"/>
    <col min="17" max="17" width="14" style="6" bestFit="1" customWidth="1"/>
    <col min="27" max="27" width="14" hidden="1" customWidth="1"/>
  </cols>
  <sheetData>
    <row r="1" spans="1:27" ht="27" thickBot="1" x14ac:dyDescent="0.45">
      <c r="A1" s="21"/>
      <c r="B1" s="149" t="s">
        <v>286</v>
      </c>
      <c r="C1" s="47"/>
      <c r="D1" s="47"/>
      <c r="E1" s="47"/>
      <c r="F1" s="47"/>
      <c r="G1" s="151"/>
    </row>
    <row r="2" spans="1:27" x14ac:dyDescent="0.25">
      <c r="A2" s="152"/>
      <c r="B2" s="153"/>
      <c r="C2" s="57"/>
      <c r="D2" s="57"/>
      <c r="E2" s="57"/>
      <c r="F2" s="153"/>
      <c r="G2" s="154"/>
    </row>
    <row r="3" spans="1:27" ht="15.75" x14ac:dyDescent="0.25">
      <c r="A3" s="107"/>
      <c r="B3" s="20" t="s">
        <v>45</v>
      </c>
      <c r="C3" s="52"/>
      <c r="D3" s="52"/>
      <c r="E3" s="52"/>
      <c r="F3" s="108"/>
      <c r="G3" s="109"/>
    </row>
    <row r="4" spans="1:27" x14ac:dyDescent="0.25">
      <c r="A4" s="107"/>
      <c r="B4" s="113" t="s">
        <v>183</v>
      </c>
      <c r="C4" s="52"/>
      <c r="D4" s="52"/>
      <c r="E4" s="52"/>
      <c r="F4" s="108"/>
      <c r="G4" s="109"/>
    </row>
    <row r="5" spans="1:27" x14ac:dyDescent="0.25">
      <c r="A5" s="107"/>
      <c r="B5" s="114" t="s">
        <v>281</v>
      </c>
      <c r="C5" s="52"/>
      <c r="D5" s="52"/>
      <c r="E5" s="52"/>
      <c r="F5" s="108"/>
      <c r="G5" s="109"/>
    </row>
    <row r="6" spans="1:27" x14ac:dyDescent="0.25">
      <c r="A6" s="107"/>
      <c r="B6" s="114" t="s">
        <v>282</v>
      </c>
      <c r="C6" s="52"/>
      <c r="D6" s="52"/>
      <c r="E6" s="52"/>
      <c r="F6" s="108"/>
      <c r="G6" s="109"/>
    </row>
    <row r="7" spans="1:27" x14ac:dyDescent="0.25">
      <c r="A7" s="107"/>
      <c r="B7" s="114" t="s">
        <v>283</v>
      </c>
      <c r="C7" s="52"/>
      <c r="D7" s="52"/>
      <c r="E7" s="52"/>
      <c r="F7" s="108"/>
      <c r="G7" s="109"/>
    </row>
    <row r="8" spans="1:27" ht="15.75" thickBot="1" x14ac:dyDescent="0.3">
      <c r="A8" s="107"/>
      <c r="B8" s="108"/>
      <c r="C8" s="52"/>
      <c r="D8" s="52"/>
      <c r="E8" s="52"/>
      <c r="F8" s="108"/>
      <c r="G8" s="109"/>
    </row>
    <row r="9" spans="1:27" ht="16.5" thickBot="1" x14ac:dyDescent="0.3">
      <c r="A9" s="107"/>
      <c r="B9" s="22" t="s">
        <v>39</v>
      </c>
      <c r="C9" s="33"/>
      <c r="D9" s="33"/>
      <c r="E9" s="33"/>
      <c r="F9" s="34"/>
      <c r="G9" s="109"/>
    </row>
    <row r="10" spans="1:27" x14ac:dyDescent="0.25">
      <c r="A10" s="107"/>
      <c r="B10" s="108"/>
      <c r="C10" s="52"/>
      <c r="D10" s="52"/>
      <c r="E10" s="52"/>
      <c r="F10" s="108"/>
      <c r="G10" s="109"/>
    </row>
    <row r="11" spans="1:27" x14ac:dyDescent="0.25">
      <c r="A11" s="107"/>
      <c r="B11" s="139" t="s">
        <v>271</v>
      </c>
      <c r="C11" s="139" t="s">
        <v>272</v>
      </c>
      <c r="D11" s="139" t="s">
        <v>81</v>
      </c>
      <c r="E11" s="139" t="s">
        <v>182</v>
      </c>
      <c r="F11" s="108"/>
      <c r="G11" s="109"/>
      <c r="AA11" s="102" t="s">
        <v>280</v>
      </c>
    </row>
    <row r="12" spans="1:27" ht="24" customHeight="1" x14ac:dyDescent="0.25">
      <c r="A12" s="107"/>
      <c r="B12" s="211" t="s">
        <v>273</v>
      </c>
      <c r="C12" s="211" t="s">
        <v>277</v>
      </c>
      <c r="D12" s="214"/>
      <c r="E12" s="196">
        <f>Table22[[#This Row],[Quantity]]*AA12</f>
        <v>0</v>
      </c>
      <c r="F12" s="108"/>
      <c r="G12" s="109"/>
      <c r="AA12" s="6">
        <v>40</v>
      </c>
    </row>
    <row r="13" spans="1:27" ht="24" customHeight="1" x14ac:dyDescent="0.25">
      <c r="A13" s="107"/>
      <c r="B13" s="211" t="s">
        <v>274</v>
      </c>
      <c r="C13" s="211" t="s">
        <v>278</v>
      </c>
      <c r="D13" s="215"/>
      <c r="E13" s="196">
        <f>Table22[[#This Row],[Quantity]]*AA13</f>
        <v>0</v>
      </c>
      <c r="F13" s="108"/>
      <c r="G13" s="109"/>
      <c r="AA13" s="6">
        <v>100</v>
      </c>
    </row>
    <row r="14" spans="1:27" ht="24" customHeight="1" x14ac:dyDescent="0.25">
      <c r="A14" s="107"/>
      <c r="B14" s="211" t="s">
        <v>275</v>
      </c>
      <c r="C14" s="211" t="s">
        <v>288</v>
      </c>
      <c r="D14" s="214"/>
      <c r="E14" s="196">
        <f>Table22[[#This Row],[Quantity]]*AA14</f>
        <v>0</v>
      </c>
      <c r="F14" s="108"/>
      <c r="G14" s="109"/>
      <c r="AA14" s="6">
        <v>130</v>
      </c>
    </row>
    <row r="15" spans="1:27" ht="24" customHeight="1" x14ac:dyDescent="0.25">
      <c r="A15" s="107"/>
      <c r="B15" s="211" t="s">
        <v>276</v>
      </c>
      <c r="C15" s="211" t="s">
        <v>279</v>
      </c>
      <c r="D15" s="215"/>
      <c r="E15" s="196">
        <f>Table22[[#This Row],[Quantity]]*AA15</f>
        <v>0</v>
      </c>
      <c r="F15" s="108"/>
      <c r="G15" s="109"/>
      <c r="AA15" s="6">
        <v>200</v>
      </c>
    </row>
    <row r="16" spans="1:27" x14ac:dyDescent="0.25">
      <c r="A16" s="107"/>
      <c r="B16" s="139" t="s">
        <v>41</v>
      </c>
      <c r="C16" s="139"/>
      <c r="D16" s="139">
        <f>SUBTOTAL(109,Table22[Quantity])</f>
        <v>0</v>
      </c>
      <c r="E16" s="163">
        <f>SUBTOTAL(109,Table22[Rebate])</f>
        <v>0</v>
      </c>
      <c r="F16" s="108"/>
      <c r="G16" s="109"/>
    </row>
    <row r="17" spans="1:7" ht="15.75" thickBot="1" x14ac:dyDescent="0.3">
      <c r="A17" s="110"/>
      <c r="B17" s="111"/>
      <c r="C17" s="54"/>
      <c r="D17" s="54"/>
      <c r="E17" s="54"/>
      <c r="F17" s="111"/>
      <c r="G17" s="112"/>
    </row>
  </sheetData>
  <sheetProtection algorithmName="SHA-512" hashValue="WvLxX32TLPDptYvVaTUQgLMpnngfEEo6/V2i5ZapMPcmjKbFjSLrLkUs3EcgPAw674diYxCE7zl0O9YCgtA84A==" saltValue="wXqdmTbULq7pHNEX8MNmAA==" spinCount="100000" sheet="1" selectLockedCells="1"/>
  <conditionalFormatting sqref="E12">
    <cfRule type="expression" dxfId="19" priority="4">
      <formula>$D12=""</formula>
    </cfRule>
  </conditionalFormatting>
  <conditionalFormatting sqref="E13">
    <cfRule type="expression" dxfId="18" priority="3">
      <formula>$D13=""</formula>
    </cfRule>
  </conditionalFormatting>
  <conditionalFormatting sqref="E14">
    <cfRule type="expression" dxfId="17" priority="2">
      <formula>$D14=""</formula>
    </cfRule>
  </conditionalFormatting>
  <conditionalFormatting sqref="E15">
    <cfRule type="expression" dxfId="16" priority="1">
      <formula>$D15=""</formula>
    </cfRule>
  </conditionalFormatting>
  <pageMargins left="0.7" right="0.7" top="0.75" bottom="0.75" header="0.3" footer="0.3"/>
  <pageSetup orientation="portrait" r:id="rId1"/>
  <picture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workbookViewId="0">
      <selection activeCell="G31" sqref="G31"/>
    </sheetView>
  </sheetViews>
  <sheetFormatPr defaultRowHeight="15" x14ac:dyDescent="0.25"/>
  <cols>
    <col min="1" max="1" width="23.140625" customWidth="1"/>
    <col min="2" max="2" width="20.42578125" customWidth="1"/>
    <col min="4" max="4" width="12.5703125" style="6" customWidth="1"/>
    <col min="5" max="5" width="17" customWidth="1"/>
    <col min="7" max="7" width="55.85546875" bestFit="1" customWidth="1"/>
    <col min="8" max="8" width="24.85546875" customWidth="1"/>
  </cols>
  <sheetData>
    <row r="1" spans="1:8" x14ac:dyDescent="0.25">
      <c r="A1" s="3" t="s">
        <v>0</v>
      </c>
      <c r="B1" t="s">
        <v>32</v>
      </c>
    </row>
    <row r="3" spans="1:8" x14ac:dyDescent="0.25">
      <c r="A3" s="3" t="s">
        <v>34</v>
      </c>
      <c r="B3" t="s">
        <v>36</v>
      </c>
      <c r="D3" s="2" t="s">
        <v>33</v>
      </c>
      <c r="E3" t="s">
        <v>38</v>
      </c>
      <c r="H3" t="s">
        <v>37</v>
      </c>
    </row>
    <row r="4" spans="1:8" x14ac:dyDescent="0.25">
      <c r="A4" s="4" t="s">
        <v>2</v>
      </c>
      <c r="B4" s="5">
        <v>202</v>
      </c>
      <c r="D4" s="7">
        <v>0.02</v>
      </c>
      <c r="E4" s="6">
        <f>D4*B4</f>
        <v>4.04</v>
      </c>
      <c r="G4" t="s">
        <v>1</v>
      </c>
      <c r="H4">
        <v>153</v>
      </c>
    </row>
    <row r="5" spans="1:8" x14ac:dyDescent="0.25">
      <c r="A5" s="4" t="s">
        <v>20</v>
      </c>
      <c r="B5" s="5">
        <v>340</v>
      </c>
      <c r="D5" s="7">
        <v>0.01</v>
      </c>
      <c r="E5" s="6">
        <f t="shared" ref="E5:E26" si="0">D5*B5</f>
        <v>3.4</v>
      </c>
      <c r="G5" t="s">
        <v>25</v>
      </c>
      <c r="H5">
        <v>169</v>
      </c>
    </row>
    <row r="6" spans="1:8" x14ac:dyDescent="0.25">
      <c r="A6" s="4" t="s">
        <v>13</v>
      </c>
      <c r="B6" s="5">
        <v>292</v>
      </c>
      <c r="D6" s="7">
        <v>0</v>
      </c>
      <c r="E6" s="6">
        <f t="shared" si="0"/>
        <v>0</v>
      </c>
      <c r="G6" t="s">
        <v>26</v>
      </c>
      <c r="H6">
        <v>153</v>
      </c>
    </row>
    <row r="7" spans="1:8" x14ac:dyDescent="0.25">
      <c r="A7" s="4" t="s">
        <v>5</v>
      </c>
      <c r="B7" s="5">
        <v>198</v>
      </c>
      <c r="D7" s="7">
        <v>0</v>
      </c>
      <c r="E7" s="6">
        <f t="shared" si="0"/>
        <v>0</v>
      </c>
      <c r="G7" t="s">
        <v>27</v>
      </c>
      <c r="H7">
        <v>169</v>
      </c>
    </row>
    <row r="8" spans="1:8" x14ac:dyDescent="0.25">
      <c r="A8" s="4" t="s">
        <v>22</v>
      </c>
      <c r="B8" s="5">
        <v>247</v>
      </c>
      <c r="D8" s="7">
        <v>0</v>
      </c>
      <c r="E8" s="6">
        <f t="shared" si="0"/>
        <v>0</v>
      </c>
      <c r="G8" t="s">
        <v>28</v>
      </c>
      <c r="H8">
        <v>54</v>
      </c>
    </row>
    <row r="9" spans="1:8" x14ac:dyDescent="0.25">
      <c r="A9" s="4" t="s">
        <v>19</v>
      </c>
      <c r="B9" s="5">
        <v>272</v>
      </c>
      <c r="D9" s="7">
        <v>0.02</v>
      </c>
      <c r="E9" s="6">
        <f t="shared" si="0"/>
        <v>5.44</v>
      </c>
      <c r="G9" t="s">
        <v>29</v>
      </c>
      <c r="H9">
        <v>49</v>
      </c>
    </row>
    <row r="10" spans="1:8" x14ac:dyDescent="0.25">
      <c r="A10" s="4" t="s">
        <v>18</v>
      </c>
      <c r="B10" s="5">
        <v>375</v>
      </c>
      <c r="D10" s="7">
        <v>0.05</v>
      </c>
      <c r="E10" s="6">
        <f t="shared" si="0"/>
        <v>18.75</v>
      </c>
      <c r="G10" t="s">
        <v>30</v>
      </c>
      <c r="H10">
        <v>77</v>
      </c>
    </row>
    <row r="11" spans="1:8" x14ac:dyDescent="0.25">
      <c r="A11" s="4" t="s">
        <v>8</v>
      </c>
      <c r="B11" s="5">
        <v>341</v>
      </c>
      <c r="D11" s="7">
        <v>0.02</v>
      </c>
      <c r="E11" s="6">
        <f t="shared" si="0"/>
        <v>6.82</v>
      </c>
      <c r="G11" t="s">
        <v>31</v>
      </c>
      <c r="H11">
        <v>910</v>
      </c>
    </row>
    <row r="12" spans="1:8" x14ac:dyDescent="0.25">
      <c r="A12" s="4" t="s">
        <v>9</v>
      </c>
      <c r="B12" s="5">
        <v>431</v>
      </c>
      <c r="D12" s="7">
        <v>0.02</v>
      </c>
      <c r="E12" s="6">
        <f t="shared" si="0"/>
        <v>8.620000000000001</v>
      </c>
      <c r="G12" t="s">
        <v>32</v>
      </c>
      <c r="H12">
        <v>263</v>
      </c>
    </row>
    <row r="13" spans="1:8" x14ac:dyDescent="0.25">
      <c r="A13" s="4" t="s">
        <v>11</v>
      </c>
      <c r="B13" s="5">
        <v>145</v>
      </c>
      <c r="D13" s="7">
        <v>0.05</v>
      </c>
      <c r="E13" s="6">
        <f t="shared" si="0"/>
        <v>7.25</v>
      </c>
    </row>
    <row r="14" spans="1:8" x14ac:dyDescent="0.25">
      <c r="A14" s="4" t="s">
        <v>15</v>
      </c>
      <c r="B14" s="5">
        <v>218</v>
      </c>
      <c r="D14" s="7">
        <v>0.02</v>
      </c>
      <c r="E14" s="6">
        <f t="shared" si="0"/>
        <v>4.3600000000000003</v>
      </c>
    </row>
    <row r="15" spans="1:8" x14ac:dyDescent="0.25">
      <c r="A15" s="4" t="s">
        <v>14</v>
      </c>
      <c r="B15" s="5">
        <v>249</v>
      </c>
      <c r="D15" s="7">
        <v>0.1</v>
      </c>
      <c r="E15" s="6">
        <f t="shared" si="0"/>
        <v>24.900000000000002</v>
      </c>
    </row>
    <row r="16" spans="1:8" x14ac:dyDescent="0.25">
      <c r="A16" s="4" t="s">
        <v>12</v>
      </c>
      <c r="B16" s="5">
        <v>120</v>
      </c>
      <c r="D16" s="7">
        <v>0.1</v>
      </c>
      <c r="E16" s="6">
        <f t="shared" si="0"/>
        <v>12</v>
      </c>
    </row>
    <row r="17" spans="1:5" x14ac:dyDescent="0.25">
      <c r="A17" s="4" t="s">
        <v>10</v>
      </c>
      <c r="B17" s="5">
        <v>322</v>
      </c>
      <c r="D17" s="7">
        <v>0.15</v>
      </c>
      <c r="E17" s="6">
        <f t="shared" si="0"/>
        <v>48.3</v>
      </c>
    </row>
    <row r="18" spans="1:5" x14ac:dyDescent="0.25">
      <c r="A18" s="4" t="s">
        <v>3</v>
      </c>
      <c r="B18" s="5">
        <v>171</v>
      </c>
      <c r="D18" s="7">
        <v>0.1</v>
      </c>
      <c r="E18" s="6">
        <f t="shared" si="0"/>
        <v>17.100000000000001</v>
      </c>
    </row>
    <row r="19" spans="1:5" x14ac:dyDescent="0.25">
      <c r="A19" s="4" t="s">
        <v>24</v>
      </c>
      <c r="B19" s="5">
        <v>570</v>
      </c>
      <c r="D19" s="7">
        <v>0.06</v>
      </c>
      <c r="E19" s="6">
        <f t="shared" si="0"/>
        <v>34.199999999999996</v>
      </c>
    </row>
    <row r="20" spans="1:5" x14ac:dyDescent="0.25">
      <c r="A20" s="4" t="s">
        <v>7</v>
      </c>
      <c r="B20" s="5">
        <v>192</v>
      </c>
      <c r="D20" s="7">
        <v>0.05</v>
      </c>
      <c r="E20" s="6">
        <f t="shared" si="0"/>
        <v>9.6000000000000014</v>
      </c>
    </row>
    <row r="21" spans="1:5" x14ac:dyDescent="0.25">
      <c r="A21" s="4" t="s">
        <v>4</v>
      </c>
      <c r="B21" s="5">
        <v>180</v>
      </c>
      <c r="D21" s="7">
        <v>0.05</v>
      </c>
      <c r="E21" s="6">
        <f t="shared" si="0"/>
        <v>9</v>
      </c>
    </row>
    <row r="22" spans="1:5" x14ac:dyDescent="0.25">
      <c r="A22" s="4" t="s">
        <v>17</v>
      </c>
      <c r="B22" s="5">
        <v>371</v>
      </c>
      <c r="D22" s="7">
        <v>0.05</v>
      </c>
      <c r="E22" s="6">
        <f t="shared" si="0"/>
        <v>18.55</v>
      </c>
    </row>
    <row r="23" spans="1:5" x14ac:dyDescent="0.25">
      <c r="A23" s="4" t="s">
        <v>16</v>
      </c>
      <c r="B23" s="5">
        <v>204</v>
      </c>
      <c r="D23" s="7">
        <v>0.05</v>
      </c>
      <c r="E23" s="6">
        <f t="shared" si="0"/>
        <v>10.200000000000001</v>
      </c>
    </row>
    <row r="24" spans="1:5" x14ac:dyDescent="0.25">
      <c r="A24" s="4" t="s">
        <v>21</v>
      </c>
      <c r="B24" s="5">
        <v>269</v>
      </c>
      <c r="D24" s="7">
        <v>0.02</v>
      </c>
      <c r="E24" s="6">
        <f t="shared" si="0"/>
        <v>5.38</v>
      </c>
    </row>
    <row r="25" spans="1:5" x14ac:dyDescent="0.25">
      <c r="A25" s="4" t="s">
        <v>23</v>
      </c>
      <c r="B25" s="5">
        <v>252</v>
      </c>
      <c r="D25" s="7">
        <v>0.05</v>
      </c>
      <c r="E25" s="6">
        <f t="shared" si="0"/>
        <v>12.600000000000001</v>
      </c>
    </row>
    <row r="26" spans="1:5" x14ac:dyDescent="0.25">
      <c r="A26" s="4" t="s">
        <v>6</v>
      </c>
      <c r="B26" s="5">
        <v>194</v>
      </c>
      <c r="D26" s="7">
        <v>0.01</v>
      </c>
      <c r="E26" s="6">
        <f t="shared" si="0"/>
        <v>1.94</v>
      </c>
    </row>
    <row r="27" spans="1:5" x14ac:dyDescent="0.25">
      <c r="A27" s="4" t="s">
        <v>35</v>
      </c>
      <c r="B27" s="5">
        <v>6155</v>
      </c>
      <c r="D27" s="7">
        <f>SUM(D4:D26)</f>
        <v>1.0000000000000002</v>
      </c>
      <c r="E27" s="6">
        <f>SUM(E4:E26)</f>
        <v>262.45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50</vt:i4>
      </vt:variant>
    </vt:vector>
  </HeadingPairs>
  <TitlesOfParts>
    <vt:vector size="57" baseType="lpstr">
      <vt:lpstr>ReadMe</vt:lpstr>
      <vt:lpstr>HVAC</vt:lpstr>
      <vt:lpstr>Heat Pumps</vt:lpstr>
      <vt:lpstr>Advanced Rooftop Controller</vt:lpstr>
      <vt:lpstr>Food Service Equipment</vt:lpstr>
      <vt:lpstr>Lighting</vt:lpstr>
      <vt:lpstr>Sheet4</vt:lpstr>
      <vt:lpstr>Commercial_Freezer_Solid_Doorssize</vt:lpstr>
      <vt:lpstr>Commercial_Ice_Machinesize</vt:lpstr>
      <vt:lpstr>Commercial_Refrigerator_Glass_Doorssize</vt:lpstr>
      <vt:lpstr>Commercial_Refrigerator_Solid_Doorssize</vt:lpstr>
      <vt:lpstr>Electric_Combination_Ovensize</vt:lpstr>
      <vt:lpstr>Five_All_Other_All</vt:lpstr>
      <vt:lpstr>Five_All_Other_All_EER</vt:lpstr>
      <vt:lpstr>Five_All_Other_All_IEER</vt:lpstr>
      <vt:lpstr>Five_Electric_Resistance_None_All</vt:lpstr>
      <vt:lpstr>Five_Electric_Resistance_None_All_EER</vt:lpstr>
      <vt:lpstr>Five_Electric_Resistance_None_All_IEER</vt:lpstr>
      <vt:lpstr>Four_All_Other_All</vt:lpstr>
      <vt:lpstr>Four_All_Other_All_EER</vt:lpstr>
      <vt:lpstr>Four_All_Other_All_IEER</vt:lpstr>
      <vt:lpstr>Four_Electric_Resistance_None_All</vt:lpstr>
      <vt:lpstr>Four_Electric_Resistance_None_All_EER</vt:lpstr>
      <vt:lpstr>Four_Electric_Resistance_None_All_IEER</vt:lpstr>
      <vt:lpstr>Heating_Section</vt:lpstr>
      <vt:lpstr>HVAC_Units</vt:lpstr>
      <vt:lpstr>Insulated_Holding_Cabinetsize</vt:lpstr>
      <vt:lpstr>LookupMeasures</vt:lpstr>
      <vt:lpstr>'Heat Pumps'!OLE_LINK1</vt:lpstr>
      <vt:lpstr>One_All_Single_Package</vt:lpstr>
      <vt:lpstr>One_All_Single_Package_EER</vt:lpstr>
      <vt:lpstr>One_All_Single_Package_SEER</vt:lpstr>
      <vt:lpstr>One_All_Split_System</vt:lpstr>
      <vt:lpstr>One_All_Split_System_EER</vt:lpstr>
      <vt:lpstr>One_All_Split_System_SEER</vt:lpstr>
      <vt:lpstr>Single_Package_Less_than_65000</vt:lpstr>
      <vt:lpstr>Single_Package_Less_than_65000_EER</vt:lpstr>
      <vt:lpstr>Single_Package_Less_than_65000_SEER</vt:lpstr>
      <vt:lpstr>Split_System_Less_than_65000</vt:lpstr>
      <vt:lpstr>Split_System_Less_than_65000_EER</vt:lpstr>
      <vt:lpstr>Split_System_Less_than_65000_SEER</vt:lpstr>
      <vt:lpstr>System_Type</vt:lpstr>
      <vt:lpstr>SystemType</vt:lpstr>
      <vt:lpstr>Three_All_Other_All</vt:lpstr>
      <vt:lpstr>Three_All_Other_All_EER</vt:lpstr>
      <vt:lpstr>Three_All_Other_All_IEER</vt:lpstr>
      <vt:lpstr>Three_Electric_Resistance_None_All</vt:lpstr>
      <vt:lpstr>Three_Electric_Resistance_None_All_EER</vt:lpstr>
      <vt:lpstr>Three_Electric_Resistance_None_All_IEER</vt:lpstr>
      <vt:lpstr>Two_All_Other_All</vt:lpstr>
      <vt:lpstr>Two_All_Other_All_EER</vt:lpstr>
      <vt:lpstr>Two_All_Other_All_IEER</vt:lpstr>
      <vt:lpstr>Two_Electric_Resistance_None_All</vt:lpstr>
      <vt:lpstr>Two_Electric_Resistance_None_All_EER</vt:lpstr>
      <vt:lpstr>Two_Electric_Resistance_None_All_IEER</vt:lpstr>
      <vt:lpstr>Units</vt:lpstr>
      <vt:lpstr>User_Measures_Dropdown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Reynolds</dc:creator>
  <cp:lastModifiedBy>Parekh, Jesal</cp:lastModifiedBy>
  <cp:lastPrinted>2019-05-30T18:47:08Z</cp:lastPrinted>
  <dcterms:created xsi:type="dcterms:W3CDTF">2011-09-30T16:06:26Z</dcterms:created>
  <dcterms:modified xsi:type="dcterms:W3CDTF">2022-05-31T22:20:41Z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fbb032-08bf-4f1e-af46-2528cd3f96ca_Enabled">
    <vt:lpwstr>true</vt:lpwstr>
  </property>
  <property fmtid="{D5CDD505-2E9C-101B-9397-08002B2CF9AE}" pid="3" name="MSIP_Label_22fbb032-08bf-4f1e-af46-2528cd3f96ca_SetDate">
    <vt:lpwstr>2022-05-31T20:50:09Z</vt:lpwstr>
  </property>
  <property fmtid="{D5CDD505-2E9C-101B-9397-08002B2CF9AE}" pid="4" name="MSIP_Label_22fbb032-08bf-4f1e-af46-2528cd3f96ca_Method">
    <vt:lpwstr>Privileged</vt:lpwstr>
  </property>
  <property fmtid="{D5CDD505-2E9C-101B-9397-08002B2CF9AE}" pid="5" name="MSIP_Label_22fbb032-08bf-4f1e-af46-2528cd3f96ca_Name">
    <vt:lpwstr>22fbb032-08bf-4f1e-af46-2528cd3f96ca</vt:lpwstr>
  </property>
  <property fmtid="{D5CDD505-2E9C-101B-9397-08002B2CF9AE}" pid="6" name="MSIP_Label_22fbb032-08bf-4f1e-af46-2528cd3f96ca_SiteId">
    <vt:lpwstr>adf10e2b-b6e9-41d6-be2f-c12bb566019c</vt:lpwstr>
  </property>
  <property fmtid="{D5CDD505-2E9C-101B-9397-08002B2CF9AE}" pid="7" name="MSIP_Label_22fbb032-08bf-4f1e-af46-2528cd3f96ca_ActionId">
    <vt:lpwstr>87b8f290-a6e8-40cc-ae44-6cd97b8a4b14</vt:lpwstr>
  </property>
  <property fmtid="{D5CDD505-2E9C-101B-9397-08002B2CF9AE}" pid="8" name="MSIP_Label_22fbb032-08bf-4f1e-af46-2528cd3f96ca_ContentBits">
    <vt:lpwstr>0</vt:lpwstr>
  </property>
</Properties>
</file>