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SSyed\Home Electrification\Electrification Estimator\"/>
    </mc:Choice>
  </mc:AlternateContent>
  <xr:revisionPtr revIDLastSave="0" documentId="13_ncr:1_{8E5F0474-F319-4AFF-9B73-469509110BCD}" xr6:coauthVersionLast="47" xr6:coauthVersionMax="47" xr10:uidLastSave="{00000000-0000-0000-0000-000000000000}"/>
  <workbookProtection workbookAlgorithmName="SHA-512" workbookHashValue="P3XyEgEtii+7+DSm5ID9niBbH+x214gPQBT9UhAv+fIJkRHuYJCVJd1kXNnRou1W6t+AsZZT9mmyzIJnudMYWg==" workbookSaltValue="NIqCw4/b8zARJ5Lv4IUPPQ==" workbookSpinCount="100000" lockStructure="1"/>
  <bookViews>
    <workbookView xWindow="28680" yWindow="-120" windowWidth="29040" windowHeight="17520" tabRatio="692" activeTab="1" xr2:uid="{5BA4B64D-B001-47EE-BEE6-16F038562C29}"/>
  </bookViews>
  <sheets>
    <sheet name="README" sheetId="5" r:id="rId1"/>
    <sheet name="Electrification Estimator" sheetId="3" r:id="rId2"/>
    <sheet name="References" sheetId="37" state="hidden" r:id="rId3"/>
    <sheet name="FAQs" sheetId="39" state="hidden" r:id="rId4"/>
    <sheet name="matrix" sheetId="25" state="hidden" r:id="rId5"/>
    <sheet name="lookup" sheetId="27" state="hidden" r:id="rId6"/>
    <sheet name="hvac" sheetId="29" state="hidden" r:id="rId7"/>
  </sheets>
  <definedNames>
    <definedName name="_xlnm._FilterDatabase" localSheetId="4" hidden="1">matrix!$B$33:$J$33</definedName>
    <definedName name="_Hlk122422148" localSheetId="0">'README'!$B$5</definedName>
    <definedName name="Dryer">lookup!$F$11:INDEX(lookup!$F$11:$F$13,SUMPRODUCT(--(lookup!$F$11:$F$13&lt;&gt;"")))</definedName>
    <definedName name="HPWH">lookup!$E$25:INDEX(lookup!$E$25:$E$27,SUMPRODUCT(--(lookup!$E$25:$E$27&lt;&gt;"")))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5" i="3" l="1"/>
  <c r="I21" i="27" l="1"/>
  <c r="I20" i="27"/>
  <c r="D36" i="3"/>
  <c r="D37" i="3" s="1"/>
  <c r="F44" i="37"/>
  <c r="C2" i="5"/>
  <c r="G44" i="3"/>
  <c r="I3" i="27" l="1"/>
  <c r="AD3" i="29"/>
  <c r="O5" i="29" s="1"/>
  <c r="I25" i="29" l="1"/>
  <c r="N31" i="29"/>
  <c r="I20" i="29"/>
  <c r="N11" i="29"/>
  <c r="O23" i="29"/>
  <c r="I26" i="29"/>
  <c r="N32" i="29"/>
  <c r="N30" i="29"/>
  <c r="N28" i="29"/>
  <c r="N12" i="29"/>
  <c r="N10" i="29"/>
  <c r="N7" i="29"/>
  <c r="J20" i="29"/>
  <c r="J19" i="29"/>
  <c r="O22" i="29"/>
  <c r="J15" i="29"/>
  <c r="I24" i="29"/>
  <c r="I22" i="29"/>
  <c r="I21" i="29"/>
  <c r="I19" i="29"/>
  <c r="I6" i="29"/>
  <c r="I35" i="29"/>
  <c r="I4" i="29"/>
  <c r="N8" i="29"/>
  <c r="O24" i="29"/>
  <c r="J18" i="29"/>
  <c r="O21" i="29"/>
  <c r="J14" i="29"/>
  <c r="I23" i="29"/>
  <c r="N29" i="29"/>
  <c r="N27" i="29"/>
  <c r="I5" i="29"/>
  <c r="N9" i="29"/>
  <c r="J4" i="29"/>
  <c r="J35" i="29"/>
  <c r="J34" i="29"/>
  <c r="J17" i="29"/>
  <c r="O20" i="29"/>
  <c r="J16" i="29"/>
  <c r="O19" i="29"/>
  <c r="O14" i="29"/>
  <c r="J33" i="29"/>
  <c r="O17" i="29"/>
  <c r="I18" i="29"/>
  <c r="J31" i="29"/>
  <c r="O35" i="29"/>
  <c r="J9" i="29"/>
  <c r="N21" i="29"/>
  <c r="O33" i="29"/>
  <c r="O13" i="29"/>
  <c r="O16" i="29"/>
  <c r="O34" i="29"/>
  <c r="J8" i="29"/>
  <c r="N20" i="29"/>
  <c r="O32" i="29"/>
  <c r="O12" i="29"/>
  <c r="O18" i="29"/>
  <c r="O4" i="29"/>
  <c r="I17" i="29"/>
  <c r="J30" i="29"/>
  <c r="J27" i="29"/>
  <c r="N19" i="29"/>
  <c r="O31" i="29"/>
  <c r="O11" i="29"/>
  <c r="I30" i="29"/>
  <c r="I10" i="29"/>
  <c r="J24" i="29"/>
  <c r="N4" i="29"/>
  <c r="N16" i="29"/>
  <c r="O28" i="29"/>
  <c r="O8" i="29"/>
  <c r="N6" i="29"/>
  <c r="N25" i="29"/>
  <c r="J12" i="29"/>
  <c r="N23" i="29"/>
  <c r="N22" i="29"/>
  <c r="J29" i="29"/>
  <c r="I34" i="29"/>
  <c r="J7" i="29"/>
  <c r="I32" i="29"/>
  <c r="J26" i="29"/>
  <c r="N18" i="29"/>
  <c r="I31" i="29"/>
  <c r="J5" i="29"/>
  <c r="H5" i="29" s="1"/>
  <c r="O9" i="29"/>
  <c r="I29" i="29"/>
  <c r="I9" i="29"/>
  <c r="J23" i="29"/>
  <c r="N35" i="29"/>
  <c r="N15" i="29"/>
  <c r="O27" i="29"/>
  <c r="O7" i="29"/>
  <c r="N26" i="29"/>
  <c r="N5" i="29"/>
  <c r="J32" i="29"/>
  <c r="O15" i="29"/>
  <c r="I16" i="29"/>
  <c r="I15" i="29"/>
  <c r="I14" i="29"/>
  <c r="I33" i="29"/>
  <c r="I12" i="29"/>
  <c r="O30" i="29"/>
  <c r="I11" i="29"/>
  <c r="O29" i="29"/>
  <c r="I28" i="29"/>
  <c r="I8" i="29"/>
  <c r="J22" i="29"/>
  <c r="N34" i="29"/>
  <c r="N14" i="29"/>
  <c r="O26" i="29"/>
  <c r="O6" i="29"/>
  <c r="J13" i="29"/>
  <c r="N24" i="29"/>
  <c r="J11" i="29"/>
  <c r="J10" i="29"/>
  <c r="J28" i="29"/>
  <c r="I13" i="29"/>
  <c r="J6" i="29"/>
  <c r="O10" i="29"/>
  <c r="J25" i="29"/>
  <c r="N17" i="29"/>
  <c r="I27" i="29"/>
  <c r="I7" i="29"/>
  <c r="J21" i="29"/>
  <c r="N33" i="29"/>
  <c r="N13" i="29"/>
  <c r="O25" i="29"/>
  <c r="G4" i="29" l="1"/>
  <c r="H32" i="29"/>
  <c r="G24" i="29"/>
  <c r="CA44" i="25" s="1"/>
  <c r="G8" i="29"/>
  <c r="G5" i="29"/>
  <c r="H15" i="29"/>
  <c r="G23" i="29"/>
  <c r="H30" i="29"/>
  <c r="CH43" i="25" s="1"/>
  <c r="G11" i="29"/>
  <c r="G25" i="29"/>
  <c r="G6" i="29"/>
  <c r="G35" i="29"/>
  <c r="G32" i="29"/>
  <c r="G31" i="29"/>
  <c r="H4" i="29"/>
  <c r="G26" i="29"/>
  <c r="G27" i="29"/>
  <c r="G28" i="29"/>
  <c r="G29" i="29"/>
  <c r="G30" i="29"/>
  <c r="CG43" i="25" s="1"/>
  <c r="G22" i="29"/>
  <c r="G10" i="29"/>
  <c r="BU42" i="25" s="1"/>
  <c r="H10" i="29"/>
  <c r="BV42" i="25" s="1"/>
  <c r="H21" i="29"/>
  <c r="G7" i="29"/>
  <c r="G16" i="29"/>
  <c r="H23" i="29"/>
  <c r="H24" i="29"/>
  <c r="CB44" i="25" s="1"/>
  <c r="H29" i="29"/>
  <c r="G20" i="29"/>
  <c r="H31" i="29"/>
  <c r="H12" i="29"/>
  <c r="H34" i="29"/>
  <c r="H16" i="29"/>
  <c r="H19" i="29"/>
  <c r="H20" i="29"/>
  <c r="H22" i="29"/>
  <c r="G9" i="29"/>
  <c r="BO42" i="25" s="1"/>
  <c r="G21" i="29"/>
  <c r="H9" i="29"/>
  <c r="BP42" i="25" s="1"/>
  <c r="G19" i="29"/>
  <c r="H11" i="29"/>
  <c r="G12" i="29"/>
  <c r="H26" i="29"/>
  <c r="H27" i="29"/>
  <c r="H17" i="29"/>
  <c r="H25" i="29"/>
  <c r="H7" i="29"/>
  <c r="H6" i="29"/>
  <c r="G15" i="29"/>
  <c r="H14" i="29"/>
  <c r="H35" i="29"/>
  <c r="H18" i="29"/>
  <c r="G33" i="29"/>
  <c r="G13" i="29"/>
  <c r="G18" i="29"/>
  <c r="G34" i="29"/>
  <c r="H33" i="29"/>
  <c r="G17" i="29"/>
  <c r="H28" i="29"/>
  <c r="H13" i="29"/>
  <c r="G1" i="29"/>
  <c r="G14" i="29"/>
  <c r="H8" i="29"/>
  <c r="F11" i="27" l="1" a="1"/>
  <c r="F11" i="27" s="1"/>
  <c r="B7" i="29"/>
  <c r="B6" i="29"/>
  <c r="CT44" i="25" l="1"/>
  <c r="CN44" i="25"/>
  <c r="CH44" i="25"/>
  <c r="CT43" i="25"/>
  <c r="CN43" i="25"/>
  <c r="CB43" i="25"/>
  <c r="BJ42" i="25"/>
  <c r="BD42" i="25"/>
  <c r="BV41" i="25"/>
  <c r="BP41" i="25"/>
  <c r="BJ41" i="25"/>
  <c r="BD41" i="25"/>
  <c r="AX40" i="25"/>
  <c r="AR40" i="25"/>
  <c r="AL40" i="25"/>
  <c r="AF40" i="25"/>
  <c r="AX39" i="25"/>
  <c r="AR39" i="25"/>
  <c r="AL39" i="25"/>
  <c r="AF39" i="25"/>
  <c r="Z38" i="25"/>
  <c r="T38" i="25"/>
  <c r="N38" i="25"/>
  <c r="H38" i="25"/>
  <c r="Z37" i="25"/>
  <c r="T37" i="25"/>
  <c r="N37" i="25"/>
  <c r="H37" i="25"/>
  <c r="CS44" i="25"/>
  <c r="CM44" i="25"/>
  <c r="CG44" i="25"/>
  <c r="CS43" i="25"/>
  <c r="CM43" i="25"/>
  <c r="CA43" i="25"/>
  <c r="BI42" i="25"/>
  <c r="BC42" i="25"/>
  <c r="BU41" i="25"/>
  <c r="BO41" i="25"/>
  <c r="BI41" i="25"/>
  <c r="BC41" i="25"/>
  <c r="AW40" i="25"/>
  <c r="AQ40" i="25"/>
  <c r="AK40" i="25"/>
  <c r="AE40" i="25"/>
  <c r="AW39" i="25"/>
  <c r="AQ39" i="25"/>
  <c r="AK39" i="25"/>
  <c r="AE39" i="25"/>
  <c r="Y38" i="25"/>
  <c r="S38" i="25"/>
  <c r="M38" i="25"/>
  <c r="G38" i="25"/>
  <c r="Y37" i="25"/>
  <c r="S37" i="25"/>
  <c r="M37" i="25"/>
  <c r="G37" i="25"/>
  <c r="P28" i="29" l="1"/>
  <c r="Q28" i="29"/>
  <c r="T28" i="29"/>
  <c r="P29" i="29"/>
  <c r="Q29" i="29"/>
  <c r="T29" i="29"/>
  <c r="P30" i="29"/>
  <c r="Q30" i="29"/>
  <c r="T30" i="29"/>
  <c r="P31" i="29"/>
  <c r="Q31" i="29"/>
  <c r="T31" i="29"/>
  <c r="P32" i="29"/>
  <c r="Q32" i="29"/>
  <c r="T32" i="29"/>
  <c r="P33" i="29"/>
  <c r="Q33" i="29"/>
  <c r="T33" i="29"/>
  <c r="P34" i="29"/>
  <c r="Q34" i="29"/>
  <c r="T34" i="29"/>
  <c r="P35" i="29"/>
  <c r="Q35" i="29"/>
  <c r="T35" i="29"/>
  <c r="K28" i="29"/>
  <c r="L28" i="29"/>
  <c r="K29" i="29"/>
  <c r="L29" i="29"/>
  <c r="K30" i="29"/>
  <c r="L30" i="29"/>
  <c r="K31" i="29"/>
  <c r="L31" i="29"/>
  <c r="K32" i="29"/>
  <c r="L32" i="29"/>
  <c r="K33" i="29"/>
  <c r="L33" i="29"/>
  <c r="K34" i="29"/>
  <c r="L34" i="29"/>
  <c r="K35" i="29"/>
  <c r="L35" i="29"/>
  <c r="W32" i="29" l="1"/>
  <c r="W33" i="29"/>
  <c r="W35" i="29"/>
  <c r="W31" i="29"/>
  <c r="W30" i="29"/>
  <c r="CE43" i="25" s="1"/>
  <c r="W29" i="29"/>
  <c r="W28" i="29"/>
  <c r="U35" i="29"/>
  <c r="U33" i="29"/>
  <c r="M32" i="29"/>
  <c r="R34" i="29"/>
  <c r="R30" i="29"/>
  <c r="R28" i="29"/>
  <c r="R29" i="29"/>
  <c r="M31" i="29"/>
  <c r="R31" i="29"/>
  <c r="R33" i="29"/>
  <c r="M30" i="29"/>
  <c r="M29" i="29"/>
  <c r="R32" i="29"/>
  <c r="M35" i="29"/>
  <c r="M28" i="29"/>
  <c r="M34" i="29"/>
  <c r="R35" i="29"/>
  <c r="M33" i="29"/>
  <c r="U28" i="29"/>
  <c r="U32" i="29"/>
  <c r="W34" i="29"/>
  <c r="U29" i="29"/>
  <c r="U34" i="29"/>
  <c r="U31" i="29"/>
  <c r="U30" i="29"/>
  <c r="CC43" i="25" s="1"/>
  <c r="CK43" i="25" l="1"/>
  <c r="AO39" i="25"/>
  <c r="AU39" i="25"/>
  <c r="CQ43" i="25"/>
  <c r="BY43" i="25"/>
  <c r="AC39" i="25"/>
  <c r="AI39" i="25"/>
  <c r="AS39" i="25"/>
  <c r="CO43" i="25"/>
  <c r="AM39" i="25"/>
  <c r="CI43" i="25"/>
  <c r="AG39" i="25"/>
  <c r="AA39" i="25"/>
  <c r="BW43" i="25"/>
  <c r="V32" i="29"/>
  <c r="CJ43" i="25" s="1"/>
  <c r="V30" i="29"/>
  <c r="CD43" i="25" s="1"/>
  <c r="V34" i="29"/>
  <c r="CP43" i="25" s="1"/>
  <c r="S35" i="29"/>
  <c r="S33" i="29"/>
  <c r="S34" i="29"/>
  <c r="S28" i="29"/>
  <c r="S29" i="29"/>
  <c r="S30" i="29"/>
  <c r="CF43" i="25" s="1"/>
  <c r="S32" i="29"/>
  <c r="V31" i="29"/>
  <c r="AH39" i="25" s="1"/>
  <c r="V29" i="29"/>
  <c r="AB39" i="25" s="1"/>
  <c r="V35" i="29"/>
  <c r="AT39" i="25" s="1"/>
  <c r="S31" i="29"/>
  <c r="V28" i="29"/>
  <c r="BX43" i="25" s="1"/>
  <c r="V33" i="29"/>
  <c r="AN39" i="25" s="1"/>
  <c r="J3" i="27"/>
  <c r="CR43" i="25" l="1"/>
  <c r="AP39" i="25"/>
  <c r="AV39" i="25"/>
  <c r="AJ39" i="25"/>
  <c r="CL43" i="25"/>
  <c r="AD39" i="25"/>
  <c r="BZ43" i="25"/>
  <c r="L6" i="25" l="1"/>
  <c r="N6" i="25"/>
  <c r="J6" i="25" s="1"/>
  <c r="N5" i="25"/>
  <c r="J5" i="25" s="1"/>
  <c r="M6" i="25"/>
  <c r="I6" i="25" s="1"/>
  <c r="H6" i="25" l="1" a="1"/>
  <c r="H6" i="25" s="1"/>
  <c r="G6" i="25" a="1"/>
  <c r="G6" i="25" s="1"/>
  <c r="R27" i="29"/>
  <c r="Q27" i="29"/>
  <c r="P27" i="29"/>
  <c r="M27" i="29"/>
  <c r="L27" i="29"/>
  <c r="R26" i="29"/>
  <c r="Q26" i="29"/>
  <c r="M26" i="29"/>
  <c r="L26" i="29"/>
  <c r="R25" i="29"/>
  <c r="Q25" i="29"/>
  <c r="M25" i="29"/>
  <c r="L25" i="29"/>
  <c r="R24" i="29"/>
  <c r="Q24" i="29"/>
  <c r="M24" i="29"/>
  <c r="L24" i="29"/>
  <c r="T23" i="29"/>
  <c r="R23" i="29"/>
  <c r="Q23" i="29"/>
  <c r="M23" i="29"/>
  <c r="L23" i="29"/>
  <c r="R22" i="29"/>
  <c r="Q22" i="29"/>
  <c r="M22" i="29"/>
  <c r="L22" i="29"/>
  <c r="R21" i="29"/>
  <c r="Q21" i="29"/>
  <c r="M21" i="29"/>
  <c r="L21" i="29"/>
  <c r="R20" i="29"/>
  <c r="Q20" i="29"/>
  <c r="M20" i="29"/>
  <c r="L20" i="29"/>
  <c r="K20" i="29"/>
  <c r="R19" i="29"/>
  <c r="Q19" i="29"/>
  <c r="M19" i="29"/>
  <c r="L19" i="29"/>
  <c r="R18" i="29"/>
  <c r="Q18" i="29"/>
  <c r="P18" i="29"/>
  <c r="M18" i="29"/>
  <c r="L18" i="29"/>
  <c r="R17" i="29"/>
  <c r="Q17" i="29"/>
  <c r="M17" i="29"/>
  <c r="L17" i="29"/>
  <c r="R16" i="29"/>
  <c r="Q16" i="29"/>
  <c r="M16" i="29"/>
  <c r="L16" i="29"/>
  <c r="R15" i="29"/>
  <c r="Q15" i="29"/>
  <c r="M15" i="29"/>
  <c r="L15" i="29"/>
  <c r="R14" i="29"/>
  <c r="Q14" i="29"/>
  <c r="M14" i="29"/>
  <c r="L14" i="29"/>
  <c r="R13" i="29"/>
  <c r="Q13" i="29"/>
  <c r="M13" i="29"/>
  <c r="L13" i="29"/>
  <c r="R12" i="29"/>
  <c r="Q12" i="29"/>
  <c r="M12" i="29"/>
  <c r="L12" i="29"/>
  <c r="R11" i="29"/>
  <c r="Q11" i="29"/>
  <c r="M11" i="29"/>
  <c r="L11" i="29"/>
  <c r="R10" i="29"/>
  <c r="Q10" i="29"/>
  <c r="M10" i="29"/>
  <c r="L10" i="29"/>
  <c r="R9" i="29"/>
  <c r="Q9" i="29"/>
  <c r="P9" i="29"/>
  <c r="M9" i="29"/>
  <c r="L9" i="29"/>
  <c r="R8" i="29"/>
  <c r="Q8" i="29"/>
  <c r="M8" i="29"/>
  <c r="L8" i="29"/>
  <c r="R7" i="29"/>
  <c r="Q7" i="29"/>
  <c r="M7" i="29"/>
  <c r="L7" i="29"/>
  <c r="R6" i="29"/>
  <c r="Q6" i="29"/>
  <c r="M6" i="29"/>
  <c r="L6" i="29"/>
  <c r="T5" i="29"/>
  <c r="R5" i="29"/>
  <c r="Q5" i="29"/>
  <c r="M5" i="29"/>
  <c r="L5" i="29"/>
  <c r="R4" i="29"/>
  <c r="Q4" i="29"/>
  <c r="M4" i="29"/>
  <c r="L4" i="29"/>
  <c r="K5" i="25"/>
  <c r="U6" i="29" l="1"/>
  <c r="O37" i="25" s="1"/>
  <c r="U7" i="29"/>
  <c r="U37" i="25" s="1"/>
  <c r="V4" i="29"/>
  <c r="D37" i="25" s="1"/>
  <c r="V22" i="29"/>
  <c r="S27" i="29"/>
  <c r="V15" i="29"/>
  <c r="AT40" i="25" s="1"/>
  <c r="V13" i="29"/>
  <c r="AH40" i="25" s="1"/>
  <c r="V6" i="29"/>
  <c r="P37" i="25" s="1"/>
  <c r="U27" i="29"/>
  <c r="U8" i="29"/>
  <c r="U19" i="29"/>
  <c r="V19" i="29"/>
  <c r="BR41" i="25" s="1"/>
  <c r="S11" i="29"/>
  <c r="S21" i="29"/>
  <c r="S17" i="29"/>
  <c r="V8" i="29"/>
  <c r="D38" i="25" s="1"/>
  <c r="V23" i="29"/>
  <c r="U17" i="29"/>
  <c r="S9" i="29"/>
  <c r="BN42" i="25" s="1"/>
  <c r="U14" i="29"/>
  <c r="S5" i="29"/>
  <c r="V10" i="29"/>
  <c r="U24" i="29"/>
  <c r="BW44" i="25" s="1"/>
  <c r="V11" i="29"/>
  <c r="V38" i="25" s="1"/>
  <c r="V20" i="29"/>
  <c r="AZ42" i="25" s="1"/>
  <c r="U25" i="29"/>
  <c r="U12" i="29"/>
  <c r="V21" i="29"/>
  <c r="BF42" i="25" s="1"/>
  <c r="V27" i="29"/>
  <c r="CP44" i="25" s="1"/>
  <c r="U5" i="29"/>
  <c r="V5" i="29"/>
  <c r="J37" i="25" s="1"/>
  <c r="V14" i="29"/>
  <c r="AN40" i="25" s="1"/>
  <c r="V24" i="29"/>
  <c r="BX44" i="25" s="1"/>
  <c r="U16" i="29"/>
  <c r="U21" i="29"/>
  <c r="U4" i="29"/>
  <c r="S8" i="29"/>
  <c r="V12" i="29"/>
  <c r="AB40" i="25" s="1"/>
  <c r="U20" i="29"/>
  <c r="V17" i="29"/>
  <c r="BF41" i="25" s="1"/>
  <c r="S24" i="29"/>
  <c r="BZ44" i="25" s="1"/>
  <c r="U13" i="29"/>
  <c r="S14" i="29"/>
  <c r="U26" i="29"/>
  <c r="U10" i="29"/>
  <c r="BQ42" i="25" s="1"/>
  <c r="U22" i="29"/>
  <c r="V26" i="29"/>
  <c r="CJ44" i="25" s="1"/>
  <c r="U15" i="29"/>
  <c r="S19" i="29"/>
  <c r="U23" i="29"/>
  <c r="U18" i="29"/>
  <c r="S12" i="29"/>
  <c r="V18" i="29"/>
  <c r="BL41" i="25" s="1"/>
  <c r="U9" i="29"/>
  <c r="BK42" i="25" s="1"/>
  <c r="V9" i="29"/>
  <c r="S15" i="29"/>
  <c r="S6" i="29"/>
  <c r="S22" i="29"/>
  <c r="S25" i="29"/>
  <c r="S10" i="29"/>
  <c r="BT42" i="25" s="1"/>
  <c r="S13" i="29"/>
  <c r="S16" i="29"/>
  <c r="S4" i="29"/>
  <c r="V7" i="29"/>
  <c r="V37" i="25" s="1"/>
  <c r="S23" i="29"/>
  <c r="S26" i="29"/>
  <c r="U11" i="29"/>
  <c r="S7" i="29"/>
  <c r="K6" i="29"/>
  <c r="T9" i="29"/>
  <c r="S18" i="29"/>
  <c r="K24" i="29"/>
  <c r="V25" i="29"/>
  <c r="CD44" i="25" s="1"/>
  <c r="T27" i="29"/>
  <c r="P4" i="29"/>
  <c r="K15" i="29"/>
  <c r="V16" i="29"/>
  <c r="AZ41" i="25" s="1"/>
  <c r="T18" i="29"/>
  <c r="P22" i="29"/>
  <c r="K8" i="29"/>
  <c r="T11" i="29"/>
  <c r="P13" i="29"/>
  <c r="S20" i="29"/>
  <c r="K26" i="29"/>
  <c r="P6" i="29"/>
  <c r="K17" i="29"/>
  <c r="T20" i="29"/>
  <c r="P24" i="29"/>
  <c r="K13" i="29"/>
  <c r="K10" i="29"/>
  <c r="P15" i="29"/>
  <c r="T4" i="29"/>
  <c r="P8" i="29"/>
  <c r="K19" i="29"/>
  <c r="T22" i="29"/>
  <c r="P26" i="29"/>
  <c r="T13" i="29"/>
  <c r="P17" i="29"/>
  <c r="T6" i="29"/>
  <c r="P10" i="29"/>
  <c r="K12" i="29"/>
  <c r="K21" i="29"/>
  <c r="T24" i="29"/>
  <c r="P20" i="29"/>
  <c r="T15" i="29"/>
  <c r="P19" i="29"/>
  <c r="T16" i="29"/>
  <c r="K5" i="29"/>
  <c r="T8" i="29"/>
  <c r="K23" i="29"/>
  <c r="T26" i="29"/>
  <c r="P12" i="29"/>
  <c r="K14" i="29"/>
  <c r="T17" i="29"/>
  <c r="P21" i="29"/>
  <c r="K7" i="29"/>
  <c r="T10" i="29"/>
  <c r="K25" i="29"/>
  <c r="P5" i="29"/>
  <c r="K16" i="29"/>
  <c r="T19" i="29"/>
  <c r="P23" i="29"/>
  <c r="K9" i="29"/>
  <c r="P14" i="29"/>
  <c r="K27" i="29"/>
  <c r="P7" i="29"/>
  <c r="T12" i="29"/>
  <c r="K18" i="29"/>
  <c r="T21" i="29"/>
  <c r="P25" i="29"/>
  <c r="T14" i="29"/>
  <c r="K11" i="29"/>
  <c r="P16" i="29"/>
  <c r="K4" i="29"/>
  <c r="T7" i="29"/>
  <c r="P11" i="29"/>
  <c r="K22" i="29"/>
  <c r="T25" i="29"/>
  <c r="M5" i="25"/>
  <c r="I5" i="25" s="1"/>
  <c r="N5" i="27"/>
  <c r="M5" i="27"/>
  <c r="L5" i="27"/>
  <c r="K5" i="27"/>
  <c r="L4" i="27"/>
  <c r="M4" i="27"/>
  <c r="N4" i="27"/>
  <c r="K4" i="27"/>
  <c r="N3" i="27"/>
  <c r="M3" i="27"/>
  <c r="L3" i="27"/>
  <c r="K3" i="27"/>
  <c r="I4" i="27"/>
  <c r="L5" i="25"/>
  <c r="K6" i="25"/>
  <c r="L4" i="25"/>
  <c r="K4" i="25"/>
  <c r="I4" i="25" s="1"/>
  <c r="L3" i="25"/>
  <c r="K3" i="25"/>
  <c r="I3" i="25" s="1"/>
  <c r="F7" i="27" l="1" a="1"/>
  <c r="F7" i="27" s="1"/>
  <c r="C41" i="27" a="1"/>
  <c r="C41" i="27" s="1"/>
  <c r="E38" i="27" a="1"/>
  <c r="E38" i="27" s="1"/>
  <c r="J38" i="25"/>
  <c r="BL42" i="25"/>
  <c r="P38" i="25"/>
  <c r="BR42" i="25"/>
  <c r="W4" i="29"/>
  <c r="E37" i="25" s="1"/>
  <c r="W5" i="29"/>
  <c r="K37" i="25" s="1"/>
  <c r="W17" i="29"/>
  <c r="BG41" i="25" s="1"/>
  <c r="W21" i="29"/>
  <c r="BG42" i="25" s="1"/>
  <c r="W26" i="29"/>
  <c r="CK44" i="25" s="1"/>
  <c r="D6" i="25" a="1"/>
  <c r="D6" i="25" s="1"/>
  <c r="W12" i="29"/>
  <c r="AC40" i="25" s="1"/>
  <c r="W16" i="29"/>
  <c r="BA41" i="25" s="1"/>
  <c r="W8" i="29"/>
  <c r="E38" i="25" s="1"/>
  <c r="W25" i="29"/>
  <c r="CE44" i="25" s="1"/>
  <c r="W15" i="29"/>
  <c r="AU40" i="25" s="1"/>
  <c r="CO44" i="25"/>
  <c r="CI44" i="25"/>
  <c r="CC44" i="25"/>
  <c r="BE42" i="25"/>
  <c r="AY42" i="25"/>
  <c r="BQ41" i="25"/>
  <c r="BK41" i="25"/>
  <c r="BE41" i="25"/>
  <c r="AY41" i="25"/>
  <c r="AS40" i="25"/>
  <c r="AM40" i="25"/>
  <c r="AG40" i="25"/>
  <c r="AA40" i="25"/>
  <c r="U38" i="25"/>
  <c r="O38" i="25"/>
  <c r="I38" i="25"/>
  <c r="C38" i="25"/>
  <c r="C6" i="25" s="1" a="1"/>
  <c r="C6" i="25" s="1"/>
  <c r="I37" i="25"/>
  <c r="C37" i="25"/>
  <c r="AP40" i="25"/>
  <c r="L38" i="25"/>
  <c r="AV40" i="25"/>
  <c r="BN41" i="25"/>
  <c r="BB41" i="25"/>
  <c r="BH42" i="25"/>
  <c r="AJ40" i="25"/>
  <c r="F38" i="25"/>
  <c r="L37" i="25"/>
  <c r="X38" i="25"/>
  <c r="BB42" i="25"/>
  <c r="CF44" i="25"/>
  <c r="F37" i="25"/>
  <c r="BH41" i="25"/>
  <c r="X37" i="25"/>
  <c r="R38" i="25"/>
  <c r="AD40" i="25"/>
  <c r="CL44" i="25"/>
  <c r="R37" i="25"/>
  <c r="BT41" i="25"/>
  <c r="CR44" i="25"/>
  <c r="H5" i="25" a="1"/>
  <c r="H5" i="25" s="1"/>
  <c r="J3" i="25"/>
  <c r="J4" i="25"/>
  <c r="W18" i="29"/>
  <c r="W9" i="29"/>
  <c r="BM42" i="25" s="1"/>
  <c r="W7" i="29"/>
  <c r="W27" i="29"/>
  <c r="W14" i="29"/>
  <c r="W24" i="29"/>
  <c r="BY44" i="25" s="1"/>
  <c r="W22" i="29"/>
  <c r="W10" i="29"/>
  <c r="BS42" i="25" s="1"/>
  <c r="W19" i="29"/>
  <c r="W11" i="29"/>
  <c r="W23" i="29"/>
  <c r="W13" i="29"/>
  <c r="W6" i="29"/>
  <c r="W20" i="29"/>
  <c r="C3" i="25" l="1" a="1"/>
  <c r="C3" i="25" s="1"/>
  <c r="F24" i="3" s="1"/>
  <c r="E3" i="25" a="1"/>
  <c r="E3" i="25" s="1"/>
  <c r="G3" i="25" a="1"/>
  <c r="G3" i="25" s="1"/>
  <c r="H3" i="25" a="1"/>
  <c r="H3" i="25" s="1"/>
  <c r="D23" i="3"/>
  <c r="Q37" i="25"/>
  <c r="Q38" i="25"/>
  <c r="BA42" i="25"/>
  <c r="AI40" i="25"/>
  <c r="AO40" i="25"/>
  <c r="CQ44" i="25"/>
  <c r="K38" i="25"/>
  <c r="W38" i="25"/>
  <c r="BS41" i="25"/>
  <c r="W37" i="25"/>
  <c r="BM41" i="25"/>
  <c r="D24" i="3"/>
  <c r="F6" i="25" a="1"/>
  <c r="F6" i="25" s="1"/>
  <c r="I26" i="27" s="1"/>
  <c r="G4" i="25" a="1"/>
  <c r="G4" i="25" s="1"/>
  <c r="H4" i="25" a="1"/>
  <c r="H4" i="25" s="1"/>
  <c r="D22" i="3" l="1"/>
  <c r="E6" i="25" a="1"/>
  <c r="E6" i="25" s="1"/>
  <c r="D25" i="3" s="1"/>
  <c r="E5" i="25" a="1"/>
  <c r="E5" i="25" s="1"/>
  <c r="E25" i="3" s="1"/>
  <c r="C4" i="25" l="1" a="1"/>
  <c r="C4" i="25" s="1"/>
  <c r="E4" i="25" a="1"/>
  <c r="E4" i="25" s="1"/>
  <c r="G25" i="3" s="1"/>
  <c r="D4" i="25" a="1"/>
  <c r="D4" i="25" s="1"/>
  <c r="G24" i="3" l="1"/>
  <c r="G23" i="3"/>
  <c r="F4" i="25" a="1"/>
  <c r="F4" i="25" s="1"/>
  <c r="F25" i="3"/>
  <c r="D39" i="3" s="1"/>
  <c r="D3" i="25" a="1"/>
  <c r="D3" i="25" s="1"/>
  <c r="C42" i="3" l="1"/>
  <c r="C41" i="3"/>
  <c r="C43" i="3"/>
  <c r="F23" i="3"/>
  <c r="G22" i="3"/>
  <c r="I24" i="27"/>
  <c r="F3" i="25" l="1" a="1"/>
  <c r="F3" i="25" s="1"/>
  <c r="F22" i="3" l="1"/>
  <c r="I23" i="27"/>
  <c r="G5" i="25" l="1" a="1"/>
  <c r="G5" i="25" s="1"/>
  <c r="C5" i="25" a="1"/>
  <c r="C5" i="25" s="1"/>
  <c r="D5" i="25" l="1" a="1"/>
  <c r="D5" i="25" s="1"/>
  <c r="E23" i="3" s="1"/>
  <c r="E24" i="3"/>
  <c r="F5" i="25" l="1" a="1"/>
  <c r="F5" i="25" s="1"/>
  <c r="I25" i="27" s="1"/>
  <c r="I27" i="27" s="1"/>
  <c r="F37" i="3" l="1"/>
  <c r="F41" i="3" s="1"/>
  <c r="E22" i="3"/>
  <c r="I28" i="27"/>
  <c r="F39" i="3" l="1"/>
  <c r="F40" i="3"/>
  <c r="F36" i="3"/>
  <c r="I29" i="27"/>
  <c r="I30" i="27" l="1"/>
  <c r="I31" i="27" s="1"/>
  <c r="F35" i="3" l="1"/>
  <c r="G3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<sst xmlns="http://schemas.openxmlformats.org/spreadsheetml/2006/main" count="884" uniqueCount="396">
  <si>
    <t>Zip Code</t>
  </si>
  <si>
    <t>Home Type</t>
  </si>
  <si>
    <t>HVAC System</t>
  </si>
  <si>
    <t>Water Heater</t>
  </si>
  <si>
    <t>Clothes Dryer</t>
  </si>
  <si>
    <t>User Input</t>
  </si>
  <si>
    <t>Selection Options</t>
  </si>
  <si>
    <t>Single Family</t>
  </si>
  <si>
    <t>Electric</t>
  </si>
  <si>
    <t>Gas</t>
  </si>
  <si>
    <t>Electric or Gas</t>
  </si>
  <si>
    <t>Estimated Annual Savings</t>
  </si>
  <si>
    <t>Total Electrification Cost</t>
  </si>
  <si>
    <t>kWh</t>
  </si>
  <si>
    <t>Therms</t>
  </si>
  <si>
    <t>GHG</t>
  </si>
  <si>
    <t>Estimated Monthly Savings</t>
  </si>
  <si>
    <t>Condo</t>
  </si>
  <si>
    <t>Townhouse</t>
  </si>
  <si>
    <t>Total Incentive</t>
  </si>
  <si>
    <t>Net Project Cost</t>
  </si>
  <si>
    <t>Not Electrifying</t>
  </si>
  <si>
    <t>Savings</t>
  </si>
  <si>
    <t>Natural Gas Clothes Dryer</t>
  </si>
  <si>
    <t>BASE CASE EQUIPMENT</t>
  </si>
  <si>
    <t>MEASURE CASE EQUIPMENT</t>
  </si>
  <si>
    <t>Natural Gas Cooktop</t>
  </si>
  <si>
    <t>Induction Cooktop</t>
  </si>
  <si>
    <t>Natural Gas Range</t>
  </si>
  <si>
    <t>Electric Range with Electric Resistance Cooktop</t>
  </si>
  <si>
    <t>Electric Range with Induction Cooktop</t>
  </si>
  <si>
    <t>Natural Gas Wall Oven</t>
  </si>
  <si>
    <t>Electric Resistance Wall Oven</t>
  </si>
  <si>
    <t>Electric Savings</t>
  </si>
  <si>
    <t>Gas Savings</t>
  </si>
  <si>
    <t>kWh to kBtu</t>
  </si>
  <si>
    <t>Therms to kBtu</t>
  </si>
  <si>
    <t>$/kWh</t>
  </si>
  <si>
    <t>$/therm</t>
  </si>
  <si>
    <t>Baseline</t>
  </si>
  <si>
    <t>Measure</t>
  </si>
  <si>
    <t>kbtu</t>
  </si>
  <si>
    <t>Total Cost</t>
  </si>
  <si>
    <t>% Savings</t>
  </si>
  <si>
    <t>Energy</t>
  </si>
  <si>
    <t>Cost</t>
  </si>
  <si>
    <t>Dollars</t>
  </si>
  <si>
    <t>MFm</t>
  </si>
  <si>
    <t>SFm</t>
  </si>
  <si>
    <t>Building Type</t>
  </si>
  <si>
    <t>Standard Size Heat Pump Clothes Dryer, Any Volt, Vented</t>
  </si>
  <si>
    <t>Standard Size Heat Pump Clothes Dryer, Any Volt, Ventless</t>
  </si>
  <si>
    <t>User Input Results</t>
  </si>
  <si>
    <t>Cooktop</t>
  </si>
  <si>
    <t>HVAC</t>
  </si>
  <si>
    <t>Match Values</t>
  </si>
  <si>
    <t xml:space="preserve">Current </t>
  </si>
  <si>
    <t>Electrified</t>
  </si>
  <si>
    <t>Natural Gas</t>
  </si>
  <si>
    <t>Current Electric</t>
  </si>
  <si>
    <t>Heat Pump Water Heater</t>
  </si>
  <si>
    <t>Electric Storage Water Heater</t>
  </si>
  <si>
    <t>Heat Pump Clothes Dryer</t>
  </si>
  <si>
    <t>Condenser Clothes Dryer</t>
  </si>
  <si>
    <t>Vented Clothes Dryer</t>
  </si>
  <si>
    <t>Range Electrified</t>
  </si>
  <si>
    <t>Oven Electrified</t>
  </si>
  <si>
    <t>Cooktop Electrified</t>
  </si>
  <si>
    <t>Current Selection Options</t>
  </si>
  <si>
    <t>Cost of Permit</t>
  </si>
  <si>
    <t>Therm to lb CO2</t>
  </si>
  <si>
    <t>Pounds CO2 Savings</t>
  </si>
  <si>
    <t>Pounds CO2</t>
  </si>
  <si>
    <t>Standard efficiency wall furnace (AFUE=67%) and window AC (EER=11), MFm</t>
  </si>
  <si>
    <t>Ductless mini-split heat pump (SEER 16, HSPF 9.0), MFm</t>
  </si>
  <si>
    <t>Ductless mini-split heat pump (SEER 15, HSPF 8.7), MFm</t>
  </si>
  <si>
    <t>Ductless mini-split heat pump (SEER 17, HSPF 9.4), MFm</t>
  </si>
  <si>
    <t>Ductless mini-split heat pump (SEER 18, HSPF 9.7), MFm</t>
  </si>
  <si>
    <t>Standard efficiency wall furnace (AFUE=67%), MFm</t>
  </si>
  <si>
    <t>Res DXGF SEER 14 and TE 80%, MFm</t>
  </si>
  <si>
    <t>Res DXHP SEER &gt;= 15 and HSPF &gt;= 8.7, MFm</t>
  </si>
  <si>
    <t>Res DXHP SEER &gt;= 16 and HSPF &gt;= 9, MFm</t>
  </si>
  <si>
    <t>Res DXHP SEER &gt;= 17 and HSPF &gt;= 9.4, MFm</t>
  </si>
  <si>
    <t>Res DXHP SEER &gt;= 18 and HSPF &gt;= 9.7, MFm</t>
  </si>
  <si>
    <t>Standard efficiency wall furnace (AFUE=67%) and window AC (EER=11), SFm</t>
  </si>
  <si>
    <t>Ductless mini-split heat pump (SEER 16, HSPF 9.0), SFm</t>
  </si>
  <si>
    <t>Ductless mini-split heat pump (SEER 15, HSPF 8.7), SFm</t>
  </si>
  <si>
    <t>Ductless mini-split heat pump (SEER 17, HSPF 9.4), SFm</t>
  </si>
  <si>
    <t>Ductless mini-split heat pump (SEER 18, HSPF 9.7), SFm</t>
  </si>
  <si>
    <t>Standard efficiency wall furnace (AFUE=67%), SFm</t>
  </si>
  <si>
    <t>Res DXGF SEER 14 and TE 80%, SFm</t>
  </si>
  <si>
    <t>Res DXHP SEER &gt;= 15 and HSPF &gt;= 8.7, SFm</t>
  </si>
  <si>
    <t>Res DXHP SEER &gt;= 16 and HSPF &gt;= 9, SFm</t>
  </si>
  <si>
    <t>Res DXHP SEER &gt;= 17 and HSPF &gt;= 9.4, SFm</t>
  </si>
  <si>
    <t>Res DXHP SEER &gt;= 18 and HSPF &gt;= 9.7, SFm</t>
  </si>
  <si>
    <t>Ductless mini-split heat pump (SEER 16, HSPF 9.0)</t>
  </si>
  <si>
    <t>Ductless mini-split heat pump (SEER 15, HSPF 8.7)</t>
  </si>
  <si>
    <t>Ductless mini-split heat pump (SEER 17, HSPF 9.4)</t>
  </si>
  <si>
    <t>Ductless mini-split heat pump (SEER 18, HSPF 9.7)</t>
  </si>
  <si>
    <t>Ducted Heat Pump</t>
  </si>
  <si>
    <t>Ductless Heat Pump</t>
  </si>
  <si>
    <t>Central Heat Pump</t>
  </si>
  <si>
    <t>Direct Exchange Heat Pump SEER &gt;= 15 and HSPF &gt;= 8.7, SFm</t>
  </si>
  <si>
    <t>Direct Exchange Heat Pump SEER &gt;= 16 and HSPF &gt;= 9, SFm</t>
  </si>
  <si>
    <t>Direct Exchange Heat Pump SEER &gt;= 17 and HSPF &gt;= 9.4, SFm</t>
  </si>
  <si>
    <t>Direct Exchange Heat Pump SEER &gt;= 18 and HSPF &gt;= 9.7, SFm</t>
  </si>
  <si>
    <t>Direct Exchange Heat Pump SEER &gt;= 15 and HSPF &gt;= 8.7, MFm</t>
  </si>
  <si>
    <t>Direct Exchange Heat Pump SEER &gt;= 16 and HSPF &gt;= 9, MFm</t>
  </si>
  <si>
    <t>Direct Exchange Heat Pump SEER &gt;= 17 and HSPF &gt;= 9.4, MFm</t>
  </si>
  <si>
    <t>Direct Exchange Heat Pump SEER &gt;= 18 and HSPF &gt;= 9.7, MFm</t>
  </si>
  <si>
    <t xml:space="preserve">Cooktop/Range/Oven </t>
  </si>
  <si>
    <t>Electric Panel Upgrade Needed</t>
  </si>
  <si>
    <t>Cost of New Electric Panel</t>
  </si>
  <si>
    <t>Simple Payback (Years)</t>
  </si>
  <si>
    <t>Yes</t>
  </si>
  <si>
    <t>No</t>
  </si>
  <si>
    <t xml:space="preserve">Workpaper states: For the base case without an existing AC load, the savings are only from the heating load. </t>
  </si>
  <si>
    <t>Therefore changed measure values to be the same as the one with window AC so it accounts for AC usage</t>
  </si>
  <si>
    <t>Standard Efficiency Wall Furnace and Window AC</t>
  </si>
  <si>
    <t>Standard Efficiency Wall Furnace</t>
  </si>
  <si>
    <t>14 SEER Split AC with Gas Furnace</t>
  </si>
  <si>
    <t>13 SEER Split AC with Gas Furnace</t>
  </si>
  <si>
    <t>15 SEER Ductless Mini-Split Heat Pump (HSPF 8.7)</t>
  </si>
  <si>
    <t>16 SEER Ductless Mini-Split Heat Pump (HSPF 9.0)</t>
  </si>
  <si>
    <t>17 SEER Ductless Mini-Split Heat Pump (HSPF 9.4)</t>
  </si>
  <si>
    <t>18 SEER Ductless Mini-Split Heat Pump (HSPF 9.7)</t>
  </si>
  <si>
    <t>18 SEER Central Heat Pump (HSPF 9.7)</t>
  </si>
  <si>
    <t>17 SEER Central Heat Pump (HSPF 9.4)</t>
  </si>
  <si>
    <t>16 SEER Central Heat Pump (HSPF 9)</t>
  </si>
  <si>
    <t>15 SEER Central Heat Pump (HSPF 8.7)</t>
  </si>
  <si>
    <t>Res DXGF SEER 13 and TE 80%, MFm</t>
  </si>
  <si>
    <t>Res DXHP SEER &gt;= 15 and HSPF &gt;= 8.7, MFm, AR</t>
  </si>
  <si>
    <t>Res DXGF SEER 13 and TE 80%, SFm</t>
  </si>
  <si>
    <t>Res DXHP SEER &gt;= 15 and HSPF &gt;= 8.7, SFm, AR</t>
  </si>
  <si>
    <t>Res DXHP SEER &gt;= 16 and HSPF &gt;= 9, MFm, AR</t>
  </si>
  <si>
    <t>Res DXHP SEER &gt;= 16 and HSPF &gt;= 9, SFm, AR</t>
  </si>
  <si>
    <t>Res DXHP SEER &gt;= 17 and HSPF &gt;= 9.4, MFm, AR</t>
  </si>
  <si>
    <t>Res DXHP SEER &gt;= 17 and HSPF &gt;= 9.4, SFm, AR</t>
  </si>
  <si>
    <t>Res DXHP SEER &gt;= 18 and HSPF &gt;= 9.7, MFm, AR</t>
  </si>
  <si>
    <t>Res DXHP SEER &gt;= 18 and HSPF &gt;= 9.7, SFm, AR</t>
  </si>
  <si>
    <t>Standard Efficiency Wall Furnace and Window AC, MFm</t>
  </si>
  <si>
    <t>Standard Efficiency Wall Furnace, MFm</t>
  </si>
  <si>
    <t>13 SEER Split AC with Gas Furnace, MFm</t>
  </si>
  <si>
    <t>14 SEER Split AC with Gas Furnace, MFm</t>
  </si>
  <si>
    <t>Standard Efficiency Wall Furnace and Window AC, SFm</t>
  </si>
  <si>
    <t>Standard Efficiency Wall Furnace, SFm</t>
  </si>
  <si>
    <t>13 SEER Split AC with Gas Furnace, SFm</t>
  </si>
  <si>
    <t>14 SEER Split AC with Gas Furnace, SFm</t>
  </si>
  <si>
    <t>15 SEER Ductless Mini-Split Heat Pump (HSPF 8.7), SFm</t>
  </si>
  <si>
    <t>16 SEER Ductless Mini-Split Heat Pump (HSPF 9.0), SFm</t>
  </si>
  <si>
    <t>17 SEER Ductless Mini-Split Heat Pump (HSPF 9.4), SFm</t>
  </si>
  <si>
    <t>18 SEER Ductless Mini-Split Heat Pump (HSPF 9.7), SFm</t>
  </si>
  <si>
    <t>15 SEER Central Heat Pump (HSPF 8.7), SFm</t>
  </si>
  <si>
    <t>16 SEER Central Heat Pump (HSPF 9), SFm</t>
  </si>
  <si>
    <t>17 SEER Central Heat Pump (HSPF 9.4), SFm</t>
  </si>
  <si>
    <t>18 SEER Central Heat Pump (HSPF 9.7), SFm</t>
  </si>
  <si>
    <t>15 SEER Ductless Mini-Split Heat Pump (HSPF 8.7), MFm</t>
  </si>
  <si>
    <t>16 SEER Ductless Mini-Split Heat Pump (HSPF 9.0), MFm</t>
  </si>
  <si>
    <t>17 SEER Ductless Mini-Split Heat Pump (HSPF 9.4), MFm</t>
  </si>
  <si>
    <t>18 SEER Ductless Mini-Split Heat Pump (HSPF 9.7), MFm</t>
  </si>
  <si>
    <t>15 SEER Central Heat Pump (HSPF 8.7), MFm</t>
  </si>
  <si>
    <t>16 SEER Central Heat Pump (HSPF 9), MFm</t>
  </si>
  <si>
    <t>17 SEER Central Heat Pump (HSPF 9.4), MFm</t>
  </si>
  <si>
    <t>18 SEER Central Heat Pump (HSPF 9.7), MFm</t>
  </si>
  <si>
    <t>This is equivalent to:</t>
  </si>
  <si>
    <t>Definitions</t>
  </si>
  <si>
    <t>Silicon Valley Power Residential Electrification Estimator</t>
  </si>
  <si>
    <t>UPDATE RATES HERE</t>
  </si>
  <si>
    <t>Solar</t>
  </si>
  <si>
    <t>Disclaimer</t>
  </si>
  <si>
    <t>Home Square Footage</t>
  </si>
  <si>
    <t>% Cost</t>
  </si>
  <si>
    <t xml:space="preserve"> Energy</t>
  </si>
  <si>
    <t>GHG lb</t>
  </si>
  <si>
    <t>Savings $</t>
  </si>
  <si>
    <t>how many kbtu in a house</t>
  </si>
  <si>
    <t>Standard Size Heat Pump Clothes Dryer, Ventless</t>
  </si>
  <si>
    <t>Standard Size Heat Pump Clothes Dryer, Vented</t>
  </si>
  <si>
    <t>Compact Size Heat Pump Clothes Dryer, Ventless</t>
  </si>
  <si>
    <t xml:space="preserve">Compact Size Heat Pump Clothes Dryer, Vented </t>
  </si>
  <si>
    <t xml:space="preserve">Compact Size Heat Pump Clothes Dryer,Vented </t>
  </si>
  <si>
    <t>Standard Size Heat Pump Clothes Dryer Vented</t>
  </si>
  <si>
    <t>Standard Size Heat Pump Clothes Dryer,  Ventless</t>
  </si>
  <si>
    <t>Tankless natural gas water heater, SFm</t>
  </si>
  <si>
    <t>Tankless natural gas water heater, MFm</t>
  </si>
  <si>
    <t>Tankless Natural Gas Water Heater</t>
  </si>
  <si>
    <t>Heat Pump Water Heater, 45 Gallons</t>
  </si>
  <si>
    <t>Storage Natural Gas Water Heater, 30 Gallons</t>
  </si>
  <si>
    <t>Heat Pump Water Heater, 45 to 55 Gallons</t>
  </si>
  <si>
    <t>Storage Natural Gas Water Heater, 40 Gallons</t>
  </si>
  <si>
    <t>Heat Pump Water Heater, 55 to 75 Gallons</t>
  </si>
  <si>
    <t>Storage Natural Gas Water Heater, 50 Gallons</t>
  </si>
  <si>
    <t>Heat Pump Water Heater, 75+ Gallons</t>
  </si>
  <si>
    <t>Storage Natural Gas Water Heater, 60 Gallons</t>
  </si>
  <si>
    <t>Storage Natural Gas Water Heater, 75 Gallons</t>
  </si>
  <si>
    <t>Storage natural gas water heater, 30 Gallons, SFm</t>
  </si>
  <si>
    <t>Storage natural gas water heater, 40 Gallons, SFm</t>
  </si>
  <si>
    <t>Storage natural gas water heater, 50 Gallons, SFm</t>
  </si>
  <si>
    <t>Storage natural gas water heater, 60 Gallons, SFm</t>
  </si>
  <si>
    <t>Storage natural gas water heater, 75 Gallons, SFm</t>
  </si>
  <si>
    <t>Storage natural gas water heater, 30 Gallons, MFm</t>
  </si>
  <si>
    <t>Storage natural gas water heater, 40 Gallons, MFm</t>
  </si>
  <si>
    <t>Storage natural gas water heater, 50 Gallons, MFm</t>
  </si>
  <si>
    <t>Storage natural gas water heater, 60 Gallons, MFm</t>
  </si>
  <si>
    <t>Storage natural gas water heater, 75 Gallons, MFm</t>
  </si>
  <si>
    <t>Heat pump water heater, 45 to 55 Gallons, SFm</t>
  </si>
  <si>
    <t>Heat pump water heater, 45 Gallons, SFm</t>
  </si>
  <si>
    <t>Heat pump water heater, 55 to 75 Gallons, SFm</t>
  </si>
  <si>
    <t>Heat pump water heater, 75+ Gallons, SFm</t>
  </si>
  <si>
    <t>Heat pump water heater, 45 to 55 Gallons, MFm</t>
  </si>
  <si>
    <t>Heat pump water heater, 45 Gallons, MFm</t>
  </si>
  <si>
    <t>Heat pump water heater, 55 to 75 Gallons, MFm</t>
  </si>
  <si>
    <t>Heat pump water heater, 75+ Gallons, MFm</t>
  </si>
  <si>
    <t>Input</t>
  </si>
  <si>
    <t xml:space="preserve">Measure </t>
  </si>
  <si>
    <t>UEC measures normalized based on converstion using home sf</t>
  </si>
  <si>
    <t>updated to be UEC baseline - UEC measure - see hvac_old tab for original UES</t>
  </si>
  <si>
    <t>13 SEER measure is AR</t>
  </si>
  <si>
    <t>N/A</t>
  </si>
  <si>
    <t>Notes</t>
  </si>
  <si>
    <t>Silicon Valley Power Residential Electrification Estimator README</t>
  </si>
  <si>
    <t>Introduction and Goal</t>
  </si>
  <si>
    <t>Platform</t>
  </si>
  <si>
    <t>Inputs</t>
  </si>
  <si>
    <t>Results</t>
  </si>
  <si>
    <t>Equivalent Emissions</t>
  </si>
  <si>
    <t>Total Pounds of CO2 Saved Per Year</t>
  </si>
  <si>
    <r>
      <t xml:space="preserve">Incentive </t>
    </r>
    <r>
      <rPr>
        <b/>
        <i/>
        <sz val="10"/>
        <color rgb="FF474A4A"/>
        <rFont val="Arial"/>
        <family val="2"/>
      </rPr>
      <t>(if applicable)</t>
    </r>
  </si>
  <si>
    <r>
      <t xml:space="preserve">New Electric Panel Incentive </t>
    </r>
    <r>
      <rPr>
        <b/>
        <i/>
        <sz val="10"/>
        <color rgb="FF474A4A"/>
        <rFont val="Arial"/>
        <family val="2"/>
      </rPr>
      <t>(if applicable)</t>
    </r>
  </si>
  <si>
    <r>
      <rPr>
        <b/>
        <i/>
        <sz val="10"/>
        <color rgb="FF474A4A"/>
        <rFont val="Arial"/>
        <family val="2"/>
      </rPr>
      <t>Heating Seasonal Performance Factor (HSPF)</t>
    </r>
    <r>
      <rPr>
        <i/>
        <sz val="10"/>
        <color rgb="FF474A4A"/>
        <rFont val="Arial"/>
        <family val="2"/>
      </rPr>
      <t xml:space="preserve"> is the ratio of the amount of heat output transferred during the heating season per on each unit of electricity used. A more efficient heat pump has a higher HSPF rating.</t>
    </r>
  </si>
  <si>
    <r>
      <rPr>
        <b/>
        <i/>
        <sz val="10"/>
        <color rgb="FF474A4A"/>
        <rFont val="Arial"/>
        <family val="2"/>
      </rPr>
      <t>Seasonal Energy Efficiency Rating (SEER)</t>
    </r>
    <r>
      <rPr>
        <i/>
        <sz val="10"/>
        <color rgb="FF474A4A"/>
        <rFont val="Arial"/>
        <family val="2"/>
      </rPr>
      <t xml:space="preserve"> and </t>
    </r>
    <r>
      <rPr>
        <b/>
        <i/>
        <sz val="10"/>
        <color rgb="FF474A4A"/>
        <rFont val="Arial"/>
        <family val="2"/>
      </rPr>
      <t>Energy Efficiency Rating (EER)</t>
    </r>
    <r>
      <rPr>
        <i/>
        <sz val="10"/>
        <color rgb="FF474A4A"/>
        <rFont val="Arial"/>
        <family val="2"/>
      </rPr>
      <t xml:space="preserve"> measure air conditioning and heat pump cooling efficiency. SEER is calculated by the cooling output for a typical cooling season divided by the total electric energy used during that same time. EER does not account for the varying temperatures during the cooling season; it measures the efficiency at only one peak cooling temperature. A unit with a higher SEER or EER is more efficient.</t>
    </r>
  </si>
  <si>
    <r>
      <rPr>
        <b/>
        <i/>
        <sz val="10"/>
        <color rgb="FF474A4A"/>
        <rFont val="Arial"/>
        <family val="2"/>
      </rPr>
      <t>Uniform Energy Factor (UEF)</t>
    </r>
    <r>
      <rPr>
        <i/>
        <sz val="10"/>
        <color rgb="FF474A4A"/>
        <rFont val="Arial"/>
        <family val="2"/>
      </rPr>
      <t xml:space="preserve"> is the Efficiency factor normalized based on draw pattern and taken over a 24-hour period. It is the amount of energy delivered per normalized energy consumption.</t>
    </r>
  </si>
  <si>
    <r>
      <rPr>
        <b/>
        <i/>
        <sz val="10"/>
        <color rgb="FF474A4A"/>
        <rFont val="Arial"/>
        <family val="2"/>
      </rPr>
      <t>Annual Fuel Utilization Efficiency (AFUE)</t>
    </r>
    <r>
      <rPr>
        <i/>
        <sz val="10"/>
        <color rgb="FF474A4A"/>
        <rFont val="Arial"/>
        <family val="2"/>
      </rPr>
      <t xml:space="preserve"> measures the gas furnace’s efficiency in converting fuel to energy. The AFUE is expressed as the percentage of the energy transformed into usable heat.</t>
    </r>
  </si>
  <si>
    <t>See pervious versions for old HVAC data</t>
  </si>
  <si>
    <t>Current System</t>
  </si>
  <si>
    <t>Current Systems</t>
  </si>
  <si>
    <t>Electrified Systems</t>
  </si>
  <si>
    <t>System name in SVP Electrification Estimator</t>
  </si>
  <si>
    <t>Natural gas cooktop with no oven</t>
  </si>
  <si>
    <t>Natural gas cooktop with natural gas oven</t>
  </si>
  <si>
    <t>No cooktop with natural gas wall oven</t>
  </si>
  <si>
    <t>Induction cooktop replacing gas cooktop</t>
  </si>
  <si>
    <t>Electric range with electric resistance cooktop replacing gas range</t>
  </si>
  <si>
    <t>Electric range with induction cooktop replacing gas range</t>
  </si>
  <si>
    <t>Electric resistance wall oven replacing gas wall oven</t>
  </si>
  <si>
    <t>Annual Savings</t>
  </si>
  <si>
    <t>New Monthly Cost</t>
  </si>
  <si>
    <t>Monthly Savings</t>
  </si>
  <si>
    <t>Solar Generation</t>
  </si>
  <si>
    <t>Monthly Cost (no solar)</t>
  </si>
  <si>
    <t>Statewide Measure ID and Version</t>
  </si>
  <si>
    <t>SWAP013-02</t>
  </si>
  <si>
    <t>SWWH025-05</t>
  </si>
  <si>
    <t>SWHC045-01</t>
  </si>
  <si>
    <t>SWHC044-02</t>
  </si>
  <si>
    <t>SWAP014-02</t>
  </si>
  <si>
    <t>Natural gas clothes dryer</t>
  </si>
  <si>
    <t>Heat pump water heater, &lt;45 gal, UEF = 3.30, 3.5, 3.75</t>
  </si>
  <si>
    <t>Tankless natural gas water heater, high draw, UEF = 0.81</t>
  </si>
  <si>
    <t>Storage natural gas water heater, 60 gal, UEF = 0.61</t>
  </si>
  <si>
    <t>Storage natural gas water heater, 75 gal, UEF = 0.59</t>
  </si>
  <si>
    <t>Storage natural gas water heater, 30 gal, UEF = 0.6</t>
  </si>
  <si>
    <t>Storage natural gas water heater, 40 gal, UEF = 0.64</t>
  </si>
  <si>
    <t>Storage natural gas water heater, 50 gal, UEF = 0.63</t>
  </si>
  <si>
    <t>Heat pump water heater, &lt;45 gal, UEF = 3.30, 3.5, 3.75, MFm</t>
  </si>
  <si>
    <t>Heat pump water heater, &lt;45 gal, UEF = 3.30, 3.5, 3.75, SFm</t>
  </si>
  <si>
    <t>Heat pump water heater, &gt;=45 to &lt;=55 gal, UEF = 3.30, 3.5, 3.75, MFm</t>
  </si>
  <si>
    <t>Heat pump water heater, &gt;=45 to &lt;=55 gal, UEF = 3.30, 3.5, 3.75, SFm</t>
  </si>
  <si>
    <t>Heat pump water heater, &gt;55 to &lt;=75 gal, UEF = 3.30, 3.5, 3.75, MFm</t>
  </si>
  <si>
    <t>Heat pump water heater, &gt;55 to &lt;=75 gal, UEF = 3.30, 3.5, 3.75, SFm</t>
  </si>
  <si>
    <t>Heat pump water heater, &gt;75 gal, UEF = 3.30, 3.5, 3.75, SFm</t>
  </si>
  <si>
    <t>Heat pump water heater, &gt;75 gal, UEF = 3.30, 3.5, 3.75, MFm</t>
  </si>
  <si>
    <t>Heat pump water heater, &gt;=45 to &lt;=55 gal, UEF = 3.30, 3.5, 3.75</t>
  </si>
  <si>
    <t>Heat pump water heater, &gt;55 to &lt;=75 gal, UEF = 3.30, 3.5, 3.75</t>
  </si>
  <si>
    <t>Heat pump water heater, &gt;75 gal, UEF = 3.30, 3.5, 3.75</t>
  </si>
  <si>
    <t>Compact Size Heat Pump Clothes Dryer, 120 Volt/240 Volt, Ventless</t>
  </si>
  <si>
    <t xml:space="preserve">Compact Size Heat Pump Clothes Dryer, 120 Volt/240 Volt, Vented </t>
  </si>
  <si>
    <t>Updated measure values for this base case to include assumed AC usage from the heat pump.</t>
  </si>
  <si>
    <t>Standard efficiency wall furnace (AFUE=67%) and window AC (EER=11)</t>
  </si>
  <si>
    <t>Standard efficiency wall furnace (AFUE=67%)</t>
  </si>
  <si>
    <t>Res DXGF SEER 13 and TE 80%</t>
  </si>
  <si>
    <t>Res DXGF SEER 14 and TE 80%</t>
  </si>
  <si>
    <t>Res DXHP SEER &gt;= 15 and HSPF &gt;= 8.7</t>
  </si>
  <si>
    <t>Res DXHP SEER &gt;= 16 and HSPF &gt;= 9</t>
  </si>
  <si>
    <t>Res DXHP SEER &gt;= 17 and HSPF &gt;= 9.4</t>
  </si>
  <si>
    <t>Res DXHP SEER &gt;= 18 and HSPF &gt;= 9.7</t>
  </si>
  <si>
    <t>eTRM System Name/Description(s)</t>
  </si>
  <si>
    <t>An average of the eTRM values based on UEF was used to calculate a generic value for the Electrification Estimator.</t>
  </si>
  <si>
    <t>An average of the eTRM values based on voltage was used to calculate a generic value for the Electrification Estimator.</t>
  </si>
  <si>
    <t>Room Unit AC with Electric Resistance Space Heater</t>
  </si>
  <si>
    <t>Data Assumptions</t>
  </si>
  <si>
    <t>Questions</t>
  </si>
  <si>
    <t>Step 1</t>
  </si>
  <si>
    <t>Step 2</t>
  </si>
  <si>
    <t>Step 3</t>
  </si>
  <si>
    <t>Step 4</t>
  </si>
  <si>
    <t>Home Information</t>
  </si>
  <si>
    <t>Electric Range with Electric Resistance or Glass Cooktop</t>
  </si>
  <si>
    <t>Permit and Electric Panel Requirements</t>
  </si>
  <si>
    <t>Electrification projects will most likely require a permit. Contact the City of Santa Clara Permit Center for more information.</t>
  </si>
  <si>
    <t>NEM</t>
  </si>
  <si>
    <t>Meter Charge</t>
  </si>
  <si>
    <t>Annual Cost Savings Per Appliance</t>
  </si>
  <si>
    <t>Annual Pounds of CO2 Saved per Appliance</t>
  </si>
  <si>
    <t>Current Appliance Type</t>
  </si>
  <si>
    <t>Appliance Types</t>
  </si>
  <si>
    <t>Net Metering (NM Rate)</t>
  </si>
  <si>
    <t>The inputs in Steps 1, 2 and 3 of the Electrification Estimator allow the tool to calculate the simple payback and the energy, bill and GHG savings. The inputs are indicated by the light gray cells. Each input cell has instructions that appear once selected.</t>
  </si>
  <si>
    <t>If needed, the cost of the new or upgraded electric panel is also taken into consideration in the calculation. Enter the estimated cost of upgrading the electric panel.</t>
  </si>
  <si>
    <t>This is the total pounds of carbon dioxide (CO2) saved per year based on switching from gas appliances to the selected electric appliances. CO2 is a greenhouse gas (GHG).</t>
  </si>
  <si>
    <t>To put the amount of GHG savings into perspective, the estimator provides equivalent values for miles driven by an average gasoline-powered passenger vehicle, gallons of gasoline consumed and area of carbon sequestered by a U.S. forests in one year. These values are based on the Environmental Protection Agency Greenhouse Gas Equivalencies Calculator.</t>
  </si>
  <si>
    <t>The simple payback is the number of years it will take for the investment to be recovered from the bill savings.</t>
  </si>
  <si>
    <t>Annual Pounds of Carbon Dioxide Per Appliance</t>
  </si>
  <si>
    <t xml:space="preserve">All fuel substitution data is based on models calculated for the California Electronic Technical Reference Manual. The eTRM is an online database and repository of deemed energy efficiency measures available for programs administered by California investor-owned utilities (IOUs) and publicly owned utilities (POUs). </t>
  </si>
  <si>
    <t>Excess Energy NM Rate</t>
  </si>
  <si>
    <t>HVAC Equipment</t>
  </si>
  <si>
    <t>Natural Gas Range (Cooktop + Oven)</t>
  </si>
  <si>
    <r>
      <t xml:space="preserve">There may be incentives and/or rebates available for switching to electric appliances. Visit </t>
    </r>
    <r>
      <rPr>
        <u/>
        <sz val="11"/>
        <color rgb="FF474A4A"/>
        <rFont val="Arial"/>
        <family val="2"/>
      </rPr>
      <t>SiliconValleyPower.com/Residents</t>
    </r>
    <r>
      <rPr>
        <sz val="11"/>
        <color rgb="FF474A4A"/>
        <rFont val="Arial"/>
        <family val="2"/>
      </rPr>
      <t xml:space="preserve"> for current program offerings. Federal tax credits or incentives may also be available. Consult your tax advisor for more information.</t>
    </r>
  </si>
  <si>
    <t>SiliconValleyPower.com/Residents/Rates-and-Fees</t>
  </si>
  <si>
    <t>PGE.com/Tariffs/Residential.pdf</t>
  </si>
  <si>
    <t xml:space="preserve">EPA.gov/Energy/Greenhouse-Gas-Equivalencies-Calculator </t>
  </si>
  <si>
    <t>CAeTRM.com</t>
  </si>
  <si>
    <r>
      <t xml:space="preserve">For questions, email </t>
    </r>
    <r>
      <rPr>
        <u/>
        <sz val="11"/>
        <color rgb="FF474A4A"/>
        <rFont val="Arial"/>
        <family val="2"/>
      </rPr>
      <t>cutcosts@siliconvalleypower.com</t>
    </r>
    <r>
      <rPr>
        <sz val="11"/>
        <color rgb="FF474A4A"/>
        <rFont val="Arial"/>
        <family val="2"/>
      </rPr>
      <t>.</t>
    </r>
  </si>
  <si>
    <t>Electric Appliance Type</t>
  </si>
  <si>
    <t>Cost of Electric Appliance</t>
  </si>
  <si>
    <t>Tankless Water Heater</t>
  </si>
  <si>
    <t>Already Electric</t>
  </si>
  <si>
    <t>Estimated New Monthly Bill</t>
  </si>
  <si>
    <t>Solar Photovoltaic (PV)</t>
  </si>
  <si>
    <t>Electric Resistance Cooktop</t>
  </si>
  <si>
    <t>Electric Resistance or Glass Cooktop</t>
  </si>
  <si>
    <t>Frequently Asked Questions</t>
  </si>
  <si>
    <t xml:space="preserve">These values are based on modeled results from the California eTRM and actual values will vary based on usage, size of the appliance, etc. This tool is meant to give customers an estimate of electrification costs. Silicon Valley Power does not guarantee these results. While many electrification projects can save you money, it is important to note that many scenarios may increase your overall energy bill due to an increase in electric load. Current and future electric and natural gas rates play a significant part in determining the cost effectiveness of an electrification measure. </t>
  </si>
  <si>
    <t>The first input is your home zip code. This ensures the house is located in the city of Santa Clara for energy modeling purposes. This tool is not meant for other geographic areas as different climate zones will have different modeled energy usage.</t>
  </si>
  <si>
    <t>Home type is used to determine the correct modeled usage for your home (single family/townhouse/condo). Note this tool is meant for homeowners who can make decisions to install electric appliances in place of natural gas appliances and who pay for the energy use. Apartments/renters and multifamily complex common area equipment are not included.</t>
  </si>
  <si>
    <t>The monthly utility bill should include your average monthly combined cost of gas and electric utilities (exclude water, sewer and refuse charges from your City of Santa Clara Municipal Utilities bill). This is used to calculate the new estimated average monthly bill, as well as monthly and annual savings.</t>
  </si>
  <si>
    <t>Select “Yes” or “No” depending on whether you have a solar PV system installed on your home. This is taken into account when calculating your new estimated monthly bill.</t>
  </si>
  <si>
    <t>Select “Yes” or “No” depending on whether you are on a qualified Net Energy Metering (NM Rate). This is taken into account when calculating your new estimated  monthly bill and potential excess energy payments if on a qualified Net Metering (NM Rate). If you do not have a solar PV system, skip this input and go to the next question.</t>
  </si>
  <si>
    <t>The home square footage is the total square footage of the conditioned (heated and/or cooled) space in the home. This is used to estimate equipment size.</t>
  </si>
  <si>
    <t>The tool gives the option to see the impact of electrifying your HVAC equipment, Water Heater, Cooktop/Range/Oven and Clothes Dryer. For each appliance, select whether the existing appliance is gas or electric. For existing electric appliances, the tool will gray out the cells you do not need to fill out. The Electrification Estimator is only meant to calculate fuel substitution (e.g. switching from gas to electric appliances), not electric to electric energy efficiency retrofits. If cells for an appliance gray out, move to the next appliance or change your input.</t>
  </si>
  <si>
    <t xml:space="preserve">Depending on which type of fuel (Gas or Electric) you select, a set of Current Appliance Types will be available to select for your HVAC Equipment, Water Heater, Cooktop/Range/Oven and Clothes Dryer. Select what is currently installed. If the exact appliance type is not available, select the closest option. The appliance selected will be compared to the selected Electric Appliance Type. Use the Helpful Tips included in the cell instructions to help identify your current appliance type. </t>
  </si>
  <si>
    <t>Based on your selection for the Current Appliance Type, electric appliance options will be available for HVAC Equipment, Water Heater, Cooktop/Range/Oven and Clothes Dryer. If the exact appliance type is not available, select the closest option. If the appliance is already electric, this cell and the following cells will be grayed out. Note that there is always an option of "Not Electrifying" if you are not interested in electrifying that appliance.</t>
  </si>
  <si>
    <t>SantaClaraCA.gov/PermitCenter</t>
  </si>
  <si>
    <t>If your electric panel is less than 200 amps, you may need a panel upgrade to electrify appliances. Note that panel upgrades will also require a permit. Enter "Yes" or "No" based on whether you will need to upgrade your electric panel.</t>
  </si>
  <si>
    <r>
      <t xml:space="preserve">Depending on current program offerings, there may be an incentive for installing a new smart electric panel. Visit </t>
    </r>
    <r>
      <rPr>
        <u/>
        <sz val="11"/>
        <color rgb="FF474A4A"/>
        <rFont val="Arial"/>
        <family val="2"/>
      </rPr>
      <t>SiliconValleyPower.com/Residents</t>
    </r>
    <r>
      <rPr>
        <sz val="11"/>
        <color rgb="FF474A4A"/>
        <rFont val="Arial"/>
        <family val="2"/>
      </rPr>
      <t xml:space="preserve"> for current program offerings.</t>
    </r>
  </si>
  <si>
    <t>The results in the green cells of Steps 2 and 4 are calculated based on your inputs.</t>
  </si>
  <si>
    <t>The annual utility bill savings is calculated by subtracting the cost to run the gas appliance(s) from the cost to run the electric appliance(s) to determine the estimated bill impacts. The cost for electricity is based on the Silicon Valley Power average electric rates (based on estimated forecasts, including surcharges) and the gas cost is based on the PG&amp;E 2022 average residential gas rates. See links below for more details.</t>
  </si>
  <si>
    <t>Percentage of Cost Savings Per Appliance</t>
  </si>
  <si>
    <t>This provides the percentage of cost savings for each individual appliance based on switching from the gas appliance to the electric appliance selected. The savings listed in each column is for that particular appliance and is a portion of the whole house consumption.</t>
  </si>
  <si>
    <t>Percentage of Energy Savings Per Appliance</t>
  </si>
  <si>
    <t>This is calculated by converting therms from the gas appliance to pounds of carbon dioxide. Silicon Valley Power provides 100% carbon-free power to all residential customers. Therefore electrifying an appliance will produce zero greenhouse gas emissions.</t>
  </si>
  <si>
    <t>The total cost to electrify your home based on your inputs for each appliance type.</t>
  </si>
  <si>
    <t>The total amount of incentives available based on your inputs for each appliance type.</t>
  </si>
  <si>
    <t>The net cost to electrify selected appliances based on your inputs for project costs and available incentives for each appliance.</t>
  </si>
  <si>
    <t>Note that this only applies to eligible customers with a solar PV system who are on the NM rate schedule. If you have a solar PV system but are not on the NM rate schedule, you may see a note that says “Estimated monthly bill will likely be close to zero from electrification savings combined with solar production. Note there will still be a monthly meter charge.” In this case, you will be using less than your solar produces and the only charge you will see on your bill is the monthly meter charge.</t>
  </si>
  <si>
    <t>The estimated monthly savings provides the monthly savings calculated based on the electric appliance(s) selected.</t>
  </si>
  <si>
    <t>The estimated annual savings provides the annual savings based on the electric appliance(s) selected.</t>
  </si>
  <si>
    <t>Simple Payback and Percentage of Investment Recouped Note</t>
  </si>
  <si>
    <t>Percentage of Investment Recouped (5 years)</t>
  </si>
  <si>
    <t>Percentage of Investment Recouped (10 years)</t>
  </si>
  <si>
    <t>The percentage of the investment that will be recovered in 5 years based on the bill savings.</t>
  </si>
  <si>
    <t>The percentage of the investment that will be recovered in 10 years based on the bill savings.</t>
  </si>
  <si>
    <t xml:space="preserve">These values are based on modeled results from the California Electronic Technical Reference Manual (eTRM) and actual values will vary based on usage, size of the appliance, etc. This tool is meant to give customers an estimate of electrification costs. Silicon Valley Power does not guarantee these results. While many electrification projects can save you money, it is important to note that many scenarios may increase your overall energy bill costs due to an increase in electric load. Current and future electric and natural gas rates play a significant part in determining the cost effectiveness of an electrification measure. </t>
  </si>
  <si>
    <t>Incremental Cost of Electric Appliance</t>
  </si>
  <si>
    <t>Replacing on Failure*</t>
  </si>
  <si>
    <t>Replacing on Failure</t>
  </si>
  <si>
    <t>Note this tool calculates the simple payback and percent of investment recouped based on incremental or full cost of the electric appliance depending on your selection. If you are replacing an appliance on failure, your payback period and percentage of investment recouped will improve.</t>
  </si>
  <si>
    <t>Monthly Utility Bill (Gas+Electric)</t>
  </si>
  <si>
    <r>
      <t>New Electric Panel Incentive</t>
    </r>
    <r>
      <rPr>
        <b/>
        <i/>
        <sz val="11"/>
        <color rgb="FF474A4A"/>
        <rFont val="Arial"/>
        <family val="2"/>
      </rPr>
      <t xml:space="preserve"> (if applicable)</t>
    </r>
  </si>
  <si>
    <r>
      <t xml:space="preserve">*If you select "Yes" to </t>
    </r>
    <r>
      <rPr>
        <b/>
        <i/>
        <sz val="8"/>
        <color rgb="FF474A4A"/>
        <rFont val="Arial"/>
        <family val="2"/>
      </rPr>
      <t>Replacing on Failure</t>
    </r>
    <r>
      <rPr>
        <i/>
        <sz val="8"/>
        <color rgb="FF474A4A"/>
        <rFont val="Arial"/>
        <family val="2"/>
      </rPr>
      <t>, the payback and investment recouped are calculated based on the incremental cost you enter for the electric appliance over the comparable new gas appliance. Note that the savings calculated are still based on the savings of the new electric appliance over the current gas appliance you selected.</t>
    </r>
  </si>
  <si>
    <t>If you are replacing your appliance(s) due to failure or close to end of expected useful life, select "Yes". If you are replacing your appliance(s) for other reasons such as health and safety benefits, remodel, etc. select "No". If you select "Yes", the results for payback and investment recouped are calculated based on the incremental cost you enter for the electric appliance over a comparable new gas appliance. Note that the savings calculated are still based on the savings of the new electric appliance over the selected current gas appliance. If you already have an electric appliance or indicated you are not interested in electrifying a particular appliance, this section will be grayed out.</t>
  </si>
  <si>
    <t>For the appliance(s) where you selected "Yes" to Replacing on Failure, calculate the incremental cost of the electric appliance over the gas appliance by subtracting the estimated cost (including purchase and installation) of the gas appliance from the estimated cost of the electric appliance.
I.e. (Electric Appliance Cost + installation cost) - (Gas Appliance Cost + Installation cost) = Incremental Cost (Note: this cost may be negative if the electric appliance is less expensive.) 
If you already have an electric appliance or indicated you are not interested in electrifying a particular appliance, this section will be grayed out.</t>
  </si>
  <si>
    <t xml:space="preserve">For the appliance(s) where you selected "No" to Replace on Failure, enter the estimated purchase and installation cost for each electric appliance type. If you already have an electric appliance or indicated you are not interested in electrifying a particular appliance, this section will be grayed out. </t>
  </si>
  <si>
    <t>This provides the percentage change in energy usage between the gas and electric appliance selected. Note the percentage of energy savings is only the savings for that appliance type and is one portion of whole house consumption.</t>
  </si>
  <si>
    <t>The estimated new monthly bill is based on your monthly utility costs and the savings calculated from the appliances you selected to convert. The savings are based on modeled results from the California eTRM. Actual values will vary based on usage, size of the appliance, etc. If you have a solar PV system on your home and you are on the NM Rate, you may see a note that says " Estimated monthly bill will likely be close to zero or negative from electrification savings combined with solar production. Actual excess energy payment based on the NM Rate for excess energy." This means that the savings you will achieve with the electric appliance(s) you are installing will bring your bill to below zero energy consumed. In other words, you will be using less energy than your solar PV system produces. In this case, the Electrification Estimator calculates the NM payment rate for excess energy. Note, you will still be charged the monthly meter charge.</t>
  </si>
  <si>
    <r>
      <t>Incentives</t>
    </r>
    <r>
      <rPr>
        <b/>
        <i/>
        <sz val="11"/>
        <color rgb="FF474A4A"/>
        <rFont val="Arial"/>
        <family val="2"/>
      </rPr>
      <t xml:space="preserve"> (if applicable)</t>
    </r>
  </si>
  <si>
    <t>This tool calculates the simple payback and percentage of investment recouped based on incremental or full cost of the electric appliance depending on your selection. If you are replacing an appliance on failure, your payback period and percentage of investment recouped will improve.</t>
  </si>
  <si>
    <t>Instructions: Enter your information in the light gray cells below. Each input cell has instructions that appear when clicked on. The green cells indicate the results based on your selections. If a cell turns dark gray, that indicates there is no value based on the selection. If you need to change your responses, you will need to reset the tool by clearing all inputs before choosing new sections. See bottom of the tool for definitions and review the README tab for details on the each cell in the Electrification Estimator.</t>
  </si>
  <si>
    <t>The Silicon Valley Power Residential Electrification Estimator is a tool designed to assist homeowners in understanding how electrification will change energy use, utility bills and greenhouse gas emissions (GHG). It will also provide an estimated payback period when electrifying appliances in your home, such as the Heating, Ventilation and Air Conditioning (HVAC) Equipment, Water Heater, Cooktop/Range/Oven and Clothes Dryer.</t>
  </si>
  <si>
    <r>
      <t xml:space="preserve">Building electrification is the process of replacing appliances powered by natural gas, propane or gasoline with appliances powered by electricity. There are many benefits to electrifying your home including reducing greenhouse gas emissions and improving health, safety and comfort. For more information on electrification, review the Silicon Valley Power Electrification Guide at </t>
    </r>
    <r>
      <rPr>
        <u/>
        <sz val="10"/>
        <color rgb="FF474A4A"/>
        <rFont val="Arial"/>
        <family val="2"/>
      </rPr>
      <t>SiliconValleyPower.com/Electrification</t>
    </r>
  </si>
  <si>
    <t xml:space="preserve"> </t>
  </si>
  <si>
    <t xml:space="preserve">  </t>
  </si>
  <si>
    <t>updated</t>
  </si>
  <si>
    <t>updated Feb 2024</t>
  </si>
  <si>
    <t>2024 Average rate (updated 2/12/24)</t>
  </si>
  <si>
    <t>Ductless HVAC</t>
  </si>
  <si>
    <t>Heat Pump HVAC</t>
  </si>
  <si>
    <t>The Electrification Estimator uses the residential fuel substitution measures in the California Electronic Technical Reference Manual (eTRM), the average Silicon Valley Power electric rate as of Jan. 1, 2024 and the average PG&amp;E gas G-1 residential service rate as of 2024 to calculate energy, cost, GHG savings and simple payback period.</t>
  </si>
  <si>
    <t>Not updated yet</t>
  </si>
  <si>
    <t>Emailed Ayad with question</t>
  </si>
  <si>
    <t>why is there measure therms?</t>
  </si>
  <si>
    <t>Microsoft Excel is the platform for the Electrification Estimator. To use the tool, download the file and open it in the Microsoft Excel desktop application. The tool does not require any macros to be enabled.</t>
  </si>
  <si>
    <t>How It Works</t>
  </si>
  <si>
    <t>Did not update 2-2024</t>
  </si>
  <si>
    <t>UEC value is now whole home</t>
  </si>
  <si>
    <t>Last update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</si>
</sst>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 #,##0_);_(* \(#,##0\);_(* &quot;-&quot;??_);_(@_)"/>
    <numFmt numFmtId="165"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u/>
      <sz val="11"/>
      <color theme="10"/>
      <name val="Calibri"/>
      <family val="2"/>
      <scheme val="minor"/>
    </font>
    <font>
      <sz val="10"/>
      <color rgb="FF474A4A"/>
      <name val="Arial"/>
      <family val="2"/>
    </font>
    <font>
      <b/>
      <sz val="10"/>
      <color rgb="FF474A4A"/>
      <name val="Arial"/>
      <family val="2"/>
    </font>
    <font>
      <i/>
      <sz val="10"/>
      <color rgb="FF474A4A"/>
      <name val="Arial"/>
      <family val="2"/>
    </font>
    <font>
      <b/>
      <i/>
      <sz val="10"/>
      <color rgb="FF474A4A"/>
      <name val="Arial"/>
      <family val="2"/>
    </font>
    <font>
      <b/>
      <sz val="11"/>
      <color rgb="FF474A4A"/>
      <name val="Arial"/>
      <family val="2"/>
    </font>
    <font>
      <u/>
      <sz val="11"/>
      <color rgb="FF474A4A"/>
      <name val="Arial"/>
      <family val="2"/>
    </font>
    <font>
      <sz val="11"/>
      <color rgb="FF474A4A"/>
      <name val="Arial"/>
      <family val="2"/>
    </font>
    <font>
      <b/>
      <sz val="16"/>
      <color rgb="FF474A4A"/>
      <name val="Arial"/>
      <family val="2"/>
    </font>
    <font>
      <i/>
      <sz val="8"/>
      <color rgb="FF474A4A"/>
      <name val="Arial"/>
      <family val="2"/>
    </font>
    <font>
      <b/>
      <sz val="14"/>
      <color rgb="FF474A4A"/>
      <name val="Arial"/>
      <family val="2"/>
    </font>
    <font>
      <b/>
      <sz val="12"/>
      <color rgb="FF474A4A"/>
      <name val="Arial"/>
      <family val="2"/>
    </font>
    <font>
      <sz val="12"/>
      <color rgb="FF474A4A"/>
      <name val="Arial"/>
      <family val="2"/>
    </font>
    <font>
      <sz val="10"/>
      <color rgb="FFFF0000"/>
      <name val="Arial"/>
      <family val="2"/>
    </font>
    <font>
      <b/>
      <i/>
      <sz val="8"/>
      <color rgb="FF474A4A"/>
      <name val="Arial"/>
      <family val="2"/>
    </font>
    <font>
      <b/>
      <i/>
      <sz val="11"/>
      <color rgb="FF474A4A"/>
      <name val="Arial"/>
      <family val="2"/>
    </font>
    <font>
      <u/>
      <sz val="10"/>
      <color rgb="FF474A4A"/>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4DE91"/>
        <bgColor indexed="64"/>
      </patternFill>
    </fill>
    <fill>
      <patternFill patternType="solid">
        <fgColor rgb="FFE4E1D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474A4A"/>
      </left>
      <right style="thin">
        <color rgb="FF474A4A"/>
      </right>
      <top style="thin">
        <color rgb="FF474A4A"/>
      </top>
      <bottom style="thin">
        <color rgb="FF474A4A"/>
      </bottom>
      <diagonal/>
    </border>
    <border>
      <left style="thin">
        <color rgb="FF505454"/>
      </left>
      <right style="thin">
        <color rgb="FF505454"/>
      </right>
      <top style="thin">
        <color rgb="FF505454"/>
      </top>
      <bottom style="thin">
        <color rgb="FF505454"/>
      </bottom>
      <diagonal/>
    </border>
    <border>
      <left/>
      <right/>
      <top/>
      <bottom style="thick">
        <color rgb="FF474A4A"/>
      </bottom>
      <diagonal/>
    </border>
    <border>
      <left style="thick">
        <color rgb="FF474A4A"/>
      </left>
      <right/>
      <top/>
      <bottom/>
      <diagonal/>
    </border>
    <border>
      <left/>
      <right style="thick">
        <color rgb="FF474A4A"/>
      </right>
      <top/>
      <bottom/>
      <diagonal/>
    </border>
    <border>
      <left/>
      <right style="thick">
        <color rgb="FF474A4A"/>
      </right>
      <top/>
      <bottom style="thick">
        <color rgb="FF474A4A"/>
      </bottom>
      <diagonal/>
    </border>
    <border>
      <left/>
      <right/>
      <top/>
      <bottom style="double">
        <color rgb="FF474A4A"/>
      </bottom>
      <diagonal/>
    </border>
    <border>
      <left/>
      <right/>
      <top/>
      <bottom style="thin">
        <color rgb="FF505454"/>
      </bottom>
      <diagonal/>
    </border>
    <border>
      <left/>
      <right/>
      <top style="thin">
        <color rgb="FF505454"/>
      </top>
      <bottom/>
      <diagonal/>
    </border>
    <border>
      <left style="thin">
        <color rgb="FF505454"/>
      </left>
      <right style="thin">
        <color rgb="FF505454"/>
      </right>
      <top style="thin">
        <color rgb="FF50545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cellStyleXfs>
  <cellXfs count="146">
    <xf numFmtId="0" fontId="0" fillId="0" borderId="0" xfId="0"/>
    <xf numFmtId="0" fontId="2" fillId="0" borderId="0" xfId="0" applyFont="1"/>
    <xf numFmtId="9" fontId="0" fillId="0" borderId="0" xfId="2" applyFont="1"/>
    <xf numFmtId="44" fontId="0" fillId="0" borderId="0" xfId="1" applyFont="1"/>
    <xf numFmtId="44" fontId="0" fillId="0" borderId="0" xfId="0" applyNumberFormat="1"/>
    <xf numFmtId="3" fontId="0" fillId="0" borderId="6" xfId="0" applyNumberFormat="1" applyBorder="1"/>
    <xf numFmtId="0" fontId="0" fillId="0" borderId="6" xfId="0" applyBorder="1"/>
    <xf numFmtId="44" fontId="0" fillId="0" borderId="6" xfId="1" applyFont="1" applyBorder="1"/>
    <xf numFmtId="44" fontId="0" fillId="0" borderId="8" xfId="1" applyFont="1" applyBorder="1"/>
    <xf numFmtId="0" fontId="0" fillId="0" borderId="10" xfId="0" applyBorder="1"/>
    <xf numFmtId="0" fontId="0" fillId="0" borderId="12" xfId="0" applyBorder="1"/>
    <xf numFmtId="0" fontId="0" fillId="0" borderId="14" xfId="0" applyBorder="1"/>
    <xf numFmtId="0" fontId="0" fillId="0" borderId="2" xfId="0" applyBorder="1"/>
    <xf numFmtId="1" fontId="0" fillId="0" borderId="0" xfId="0" applyNumberFormat="1"/>
    <xf numFmtId="0" fontId="0" fillId="0" borderId="4" xfId="0" applyBorder="1"/>
    <xf numFmtId="0" fontId="2" fillId="0" borderId="13" xfId="0" applyFont="1" applyBorder="1"/>
    <xf numFmtId="0" fontId="2" fillId="0" borderId="14" xfId="0" applyFont="1" applyBorder="1"/>
    <xf numFmtId="0" fontId="2" fillId="3" borderId="0" xfId="0" applyFont="1" applyFill="1"/>
    <xf numFmtId="0" fontId="2" fillId="2" borderId="0" xfId="0" applyFont="1" applyFill="1"/>
    <xf numFmtId="0" fontId="2" fillId="0" borderId="9" xfId="0" applyFont="1" applyBorder="1"/>
    <xf numFmtId="0" fontId="2" fillId="2" borderId="12" xfId="0" applyFont="1" applyFill="1" applyBorder="1"/>
    <xf numFmtId="9" fontId="1" fillId="0" borderId="12" xfId="2" applyFont="1" applyBorder="1"/>
    <xf numFmtId="9" fontId="1" fillId="0" borderId="0" xfId="2" applyFont="1" applyBorder="1"/>
    <xf numFmtId="0" fontId="2" fillId="3" borderId="9" xfId="0" applyFont="1" applyFill="1" applyBorder="1"/>
    <xf numFmtId="0" fontId="2" fillId="2" borderId="10" xfId="0" applyFont="1" applyFill="1" applyBorder="1"/>
    <xf numFmtId="0" fontId="2" fillId="2" borderId="9" xfId="0" applyFont="1" applyFill="1" applyBorder="1"/>
    <xf numFmtId="44" fontId="2" fillId="0" borderId="14" xfId="1" applyFont="1" applyBorder="1"/>
    <xf numFmtId="44" fontId="0" fillId="0" borderId="0" xfId="1" applyFont="1" applyBorder="1"/>
    <xf numFmtId="44" fontId="0" fillId="0" borderId="14" xfId="1" applyFont="1" applyBorder="1"/>
    <xf numFmtId="44" fontId="0" fillId="0" borderId="12" xfId="1" applyFont="1" applyBorder="1"/>
    <xf numFmtId="9" fontId="0" fillId="0" borderId="12" xfId="2" applyFont="1" applyBorder="1"/>
    <xf numFmtId="0" fontId="2" fillId="3" borderId="10" xfId="0" applyFont="1" applyFill="1" applyBorder="1"/>
    <xf numFmtId="0" fontId="2" fillId="3" borderId="11" xfId="0" applyFont="1" applyFill="1" applyBorder="1"/>
    <xf numFmtId="0" fontId="5" fillId="0" borderId="7" xfId="4" applyBorder="1"/>
    <xf numFmtId="0" fontId="5" fillId="0" borderId="5" xfId="4" applyBorder="1"/>
    <xf numFmtId="0" fontId="2" fillId="2" borderId="1" xfId="0" applyFont="1" applyFill="1" applyBorder="1"/>
    <xf numFmtId="9" fontId="0" fillId="0" borderId="1" xfId="2" applyFont="1" applyBorder="1"/>
    <xf numFmtId="0" fontId="0" fillId="0" borderId="1" xfId="0" applyBorder="1"/>
    <xf numFmtId="0" fontId="0" fillId="0" borderId="13" xfId="0" applyBorder="1"/>
    <xf numFmtId="0" fontId="2" fillId="2" borderId="15" xfId="0" applyFont="1" applyFill="1" applyBorder="1"/>
    <xf numFmtId="9" fontId="0" fillId="0" borderId="0" xfId="2" applyFont="1" applyBorder="1"/>
    <xf numFmtId="0" fontId="0" fillId="2" borderId="1" xfId="0" applyFill="1" applyBorder="1"/>
    <xf numFmtId="0" fontId="2" fillId="4" borderId="1" xfId="0" applyFont="1" applyFill="1" applyBorder="1"/>
    <xf numFmtId="0" fontId="2" fillId="2" borderId="13" xfId="0" applyFont="1" applyFill="1" applyBorder="1"/>
    <xf numFmtId="0" fontId="5" fillId="0" borderId="0" xfId="4"/>
    <xf numFmtId="0" fontId="5" fillId="0" borderId="3" xfId="4" applyFill="1" applyBorder="1"/>
    <xf numFmtId="1" fontId="1" fillId="0" borderId="0" xfId="2" applyNumberFormat="1" applyFont="1" applyBorder="1"/>
    <xf numFmtId="0" fontId="0" fillId="5" borderId="0" xfId="0" applyFill="1"/>
    <xf numFmtId="0" fontId="0" fillId="0" borderId="1" xfId="2" applyNumberFormat="1" applyFont="1" applyBorder="1"/>
    <xf numFmtId="0" fontId="0" fillId="0" borderId="0" xfId="2" applyNumberFormat="1" applyFont="1" applyBorder="1"/>
    <xf numFmtId="0" fontId="0" fillId="0" borderId="14" xfId="1" applyNumberFormat="1" applyFont="1" applyBorder="1"/>
    <xf numFmtId="44" fontId="0" fillId="0" borderId="1" xfId="1" applyFont="1" applyBorder="1"/>
    <xf numFmtId="0" fontId="2" fillId="5" borderId="0" xfId="0" applyFont="1" applyFill="1"/>
    <xf numFmtId="44" fontId="0" fillId="0" borderId="1" xfId="0" applyNumberFormat="1" applyBorder="1"/>
    <xf numFmtId="44" fontId="0" fillId="0" borderId="1" xfId="2" applyNumberFormat="1" applyFont="1" applyBorder="1"/>
    <xf numFmtId="0" fontId="0" fillId="0" borderId="0" xfId="1" applyNumberFormat="1" applyFont="1" applyBorder="1"/>
    <xf numFmtId="0" fontId="4" fillId="0" borderId="1" xfId="0" applyFont="1" applyBorder="1"/>
    <xf numFmtId="165" fontId="0" fillId="0" borderId="0" xfId="0" applyNumberFormat="1"/>
    <xf numFmtId="0" fontId="0" fillId="0" borderId="16" xfId="0" applyBorder="1"/>
    <xf numFmtId="0" fontId="11" fillId="0" borderId="0" xfId="4" applyFont="1"/>
    <xf numFmtId="0" fontId="12" fillId="0" borderId="0" xfId="0" applyFont="1" applyAlignment="1">
      <alignment wrapText="1"/>
    </xf>
    <xf numFmtId="0" fontId="12" fillId="0" borderId="0" xfId="0" applyFont="1"/>
    <xf numFmtId="0" fontId="13"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3"/>
    </xf>
    <xf numFmtId="0" fontId="7" fillId="0" borderId="17" xfId="0" applyFont="1" applyBorder="1" applyAlignment="1">
      <alignment horizontal="left" vertical="center"/>
    </xf>
    <xf numFmtId="0" fontId="6" fillId="0" borderId="17" xfId="0" applyFont="1" applyBorder="1" applyAlignment="1">
      <alignment horizontal="left" vertical="center"/>
    </xf>
    <xf numFmtId="1" fontId="0" fillId="0" borderId="1" xfId="2" applyNumberFormat="1" applyFont="1" applyBorder="1"/>
    <xf numFmtId="0" fontId="7" fillId="6" borderId="17"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6" fillId="7" borderId="17" xfId="0" applyFont="1" applyFill="1" applyBorder="1" applyAlignment="1" applyProtection="1">
      <alignment horizontal="left" vertical="center"/>
      <protection locked="0"/>
    </xf>
    <xf numFmtId="44" fontId="6" fillId="7" borderId="17" xfId="1" applyFont="1" applyFill="1" applyBorder="1" applyAlignment="1" applyProtection="1">
      <alignment horizontal="left" vertical="center"/>
      <protection locked="0"/>
    </xf>
    <xf numFmtId="0" fontId="7" fillId="0" borderId="0" xfId="0" applyFont="1" applyAlignment="1">
      <alignment horizontal="right" vertical="center"/>
    </xf>
    <xf numFmtId="0" fontId="6" fillId="0" borderId="0" xfId="0" applyFont="1"/>
    <xf numFmtId="0" fontId="14" fillId="0" borderId="0" xfId="0" applyFont="1" applyAlignment="1">
      <alignment vertical="top" wrapText="1"/>
    </xf>
    <xf numFmtId="0" fontId="9"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right"/>
    </xf>
    <xf numFmtId="0" fontId="7"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7" borderId="18" xfId="0" applyFont="1" applyFill="1" applyBorder="1" applyAlignment="1" applyProtection="1">
      <alignment vertical="center"/>
      <protection locked="0"/>
    </xf>
    <xf numFmtId="164" fontId="6" fillId="7" borderId="18" xfId="3" applyNumberFormat="1" applyFont="1" applyFill="1" applyBorder="1" applyAlignment="1" applyProtection="1">
      <alignment horizontal="left" vertical="center"/>
      <protection locked="0"/>
    </xf>
    <xf numFmtId="0" fontId="6" fillId="7" borderId="18" xfId="0" applyFont="1" applyFill="1" applyBorder="1" applyAlignment="1" applyProtection="1">
      <alignment horizontal="center"/>
      <protection locked="0"/>
    </xf>
    <xf numFmtId="0" fontId="6" fillId="7" borderId="18" xfId="0" applyFont="1" applyFill="1" applyBorder="1" applyAlignment="1" applyProtection="1">
      <alignment horizontal="left"/>
      <protection locked="0"/>
    </xf>
    <xf numFmtId="44" fontId="6" fillId="7" borderId="18" xfId="1" applyFont="1" applyFill="1" applyBorder="1" applyAlignment="1" applyProtection="1">
      <alignment horizontal="left"/>
      <protection locked="0"/>
    </xf>
    <xf numFmtId="44" fontId="6" fillId="6" borderId="18" xfId="2" applyNumberFormat="1" applyFont="1" applyFill="1" applyBorder="1" applyAlignment="1" applyProtection="1">
      <alignment vertical="center"/>
      <protection hidden="1"/>
    </xf>
    <xf numFmtId="9" fontId="6" fillId="6" borderId="18" xfId="2" applyFont="1" applyFill="1" applyBorder="1" applyAlignment="1" applyProtection="1">
      <alignment vertical="center"/>
      <protection hidden="1"/>
    </xf>
    <xf numFmtId="164" fontId="6" fillId="6" borderId="18" xfId="3" applyNumberFormat="1" applyFont="1" applyFill="1" applyBorder="1" applyAlignment="1" applyProtection="1">
      <alignment vertical="center"/>
      <protection hidden="1"/>
    </xf>
    <xf numFmtId="44" fontId="6" fillId="7" borderId="18" xfId="1" applyFont="1" applyFill="1" applyBorder="1" applyAlignment="1" applyProtection="1">
      <alignment horizontal="left" vertical="center"/>
      <protection locked="0"/>
    </xf>
    <xf numFmtId="44" fontId="7" fillId="6" borderId="18" xfId="1" applyFont="1" applyFill="1" applyBorder="1" applyAlignment="1" applyProtection="1">
      <alignment vertical="center"/>
      <protection hidden="1"/>
    </xf>
    <xf numFmtId="44" fontId="7" fillId="6" borderId="18" xfId="0" applyNumberFormat="1" applyFont="1" applyFill="1" applyBorder="1" applyAlignment="1" applyProtection="1">
      <alignment vertical="center"/>
      <protection hidden="1"/>
    </xf>
    <xf numFmtId="165" fontId="7" fillId="6" borderId="18" xfId="0" applyNumberFormat="1" applyFont="1" applyFill="1" applyBorder="1" applyAlignment="1" applyProtection="1">
      <alignment vertical="center"/>
      <protection hidden="1"/>
    </xf>
    <xf numFmtId="9" fontId="7" fillId="6" borderId="18" xfId="2" applyFont="1" applyFill="1" applyBorder="1" applyAlignment="1" applyProtection="1">
      <alignment vertical="center"/>
      <protection hidden="1"/>
    </xf>
    <xf numFmtId="164" fontId="7" fillId="6" borderId="18" xfId="3" applyNumberFormat="1" applyFont="1" applyFill="1" applyBorder="1" applyAlignment="1" applyProtection="1">
      <alignment vertical="center"/>
      <protection hidden="1"/>
    </xf>
    <xf numFmtId="0" fontId="14" fillId="0" borderId="0" xfId="0" applyFont="1" applyAlignment="1" applyProtection="1">
      <alignment horizontal="right"/>
      <protection hidden="1"/>
    </xf>
    <xf numFmtId="0" fontId="14" fillId="0" borderId="0" xfId="0" applyFont="1" applyAlignment="1" applyProtection="1">
      <alignment horizontal="left"/>
      <protection hidden="1"/>
    </xf>
    <xf numFmtId="0" fontId="6" fillId="7" borderId="0" xfId="0" applyFont="1" applyFill="1"/>
    <xf numFmtId="0" fontId="6" fillId="7" borderId="0" xfId="0" applyFont="1" applyFill="1" applyAlignment="1">
      <alignment wrapText="1"/>
    </xf>
    <xf numFmtId="0" fontId="8" fillId="7" borderId="0" xfId="0" applyFont="1" applyFill="1" applyAlignment="1">
      <alignment vertical="center"/>
    </xf>
    <xf numFmtId="43" fontId="6" fillId="7" borderId="0" xfId="0" applyNumberFormat="1" applyFont="1" applyFill="1"/>
    <xf numFmtId="0" fontId="6" fillId="0" borderId="19" xfId="0" applyFont="1" applyBorder="1"/>
    <xf numFmtId="0" fontId="8" fillId="0" borderId="19" xfId="0" applyFont="1" applyBorder="1" applyAlignment="1">
      <alignment horizontal="left" vertical="center"/>
    </xf>
    <xf numFmtId="0" fontId="6" fillId="7" borderId="20" xfId="0" applyFont="1" applyFill="1" applyBorder="1"/>
    <xf numFmtId="0" fontId="6" fillId="0" borderId="21" xfId="0" applyFont="1" applyBorder="1"/>
    <xf numFmtId="0" fontId="6" fillId="0" borderId="22" xfId="0" applyFont="1" applyBorder="1"/>
    <xf numFmtId="0" fontId="6" fillId="0" borderId="21" xfId="0" applyFont="1" applyBorder="1" applyAlignment="1">
      <alignment wrapText="1"/>
    </xf>
    <xf numFmtId="0" fontId="7" fillId="0" borderId="21" xfId="0" applyFont="1" applyBorder="1" applyAlignment="1">
      <alignment wrapText="1"/>
    </xf>
    <xf numFmtId="0" fontId="16" fillId="0" borderId="0" xfId="0" applyFont="1" applyAlignment="1">
      <alignment horizontal="right"/>
    </xf>
    <xf numFmtId="0" fontId="17" fillId="0" borderId="0" xfId="0" applyFont="1"/>
    <xf numFmtId="0" fontId="18" fillId="0" borderId="17" xfId="0" applyFont="1" applyBorder="1" applyAlignment="1">
      <alignment horizontal="left" vertical="center"/>
    </xf>
    <xf numFmtId="0" fontId="8" fillId="0" borderId="0" xfId="0" applyFont="1"/>
    <xf numFmtId="0" fontId="6" fillId="0" borderId="23" xfId="0" applyFont="1" applyBorder="1"/>
    <xf numFmtId="0" fontId="8" fillId="0" borderId="23" xfId="0" applyFont="1" applyBorder="1"/>
    <xf numFmtId="0" fontId="6" fillId="0" borderId="24" xfId="0" applyFont="1" applyBorder="1"/>
    <xf numFmtId="0" fontId="0" fillId="0" borderId="1" xfId="1" applyNumberFormat="1" applyFont="1" applyBorder="1"/>
    <xf numFmtId="44" fontId="0" fillId="5" borderId="1" xfId="1" applyFont="1" applyFill="1" applyBorder="1"/>
    <xf numFmtId="0" fontId="5" fillId="2" borderId="1" xfId="4" applyFill="1" applyBorder="1"/>
    <xf numFmtId="0" fontId="5" fillId="2" borderId="13" xfId="4" applyFill="1" applyBorder="1"/>
    <xf numFmtId="0" fontId="12" fillId="0" borderId="0" xfId="0" applyFont="1" applyAlignment="1">
      <alignment vertical="top" wrapText="1"/>
    </xf>
    <xf numFmtId="0" fontId="11" fillId="0" borderId="0" xfId="4" applyFont="1" applyBorder="1" applyAlignment="1">
      <alignment vertical="center" wrapText="1"/>
    </xf>
    <xf numFmtId="0" fontId="10" fillId="0" borderId="0" xfId="0" applyFont="1" applyAlignment="1">
      <alignment vertical="center"/>
    </xf>
    <xf numFmtId="0" fontId="14" fillId="5" borderId="0" xfId="0" applyFont="1" applyFill="1" applyAlignment="1">
      <alignment horizontal="right"/>
    </xf>
    <xf numFmtId="9" fontId="0" fillId="3" borderId="1" xfId="2" applyFont="1" applyFill="1" applyBorder="1"/>
    <xf numFmtId="0" fontId="0" fillId="3" borderId="1" xfId="2" applyNumberFormat="1" applyFont="1" applyFill="1" applyBorder="1"/>
    <xf numFmtId="9" fontId="0" fillId="0" borderId="1" xfId="2" quotePrefix="1" applyFont="1" applyBorder="1"/>
    <xf numFmtId="0" fontId="14" fillId="0" borderId="23" xfId="0" applyFont="1" applyBorder="1"/>
    <xf numFmtId="0" fontId="14" fillId="0" borderId="0" xfId="0" applyFont="1"/>
    <xf numFmtId="164" fontId="8" fillId="6" borderId="18" xfId="3" applyNumberFormat="1" applyFont="1" applyFill="1" applyBorder="1" applyAlignment="1" applyProtection="1">
      <alignment horizontal="left" vertical="center"/>
      <protection hidden="1"/>
    </xf>
    <xf numFmtId="0" fontId="6" fillId="0" borderId="25" xfId="0" applyFont="1" applyBorder="1"/>
    <xf numFmtId="164" fontId="8" fillId="6" borderId="26" xfId="3" applyNumberFormat="1" applyFont="1" applyFill="1" applyBorder="1" applyAlignment="1" applyProtection="1">
      <alignment horizontal="left" vertical="center"/>
      <protection hidden="1"/>
    </xf>
    <xf numFmtId="14" fontId="0" fillId="0" borderId="0" xfId="0" applyNumberFormat="1"/>
    <xf numFmtId="0" fontId="15"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center" vertical="center" wrapText="1"/>
    </xf>
    <xf numFmtId="0" fontId="6" fillId="0" borderId="0" xfId="0" applyFont="1" applyAlignment="1">
      <alignment horizontal="left" vertical="top" wrapText="1"/>
    </xf>
    <xf numFmtId="0" fontId="14" fillId="0" borderId="0" xfId="0" applyFont="1" applyAlignment="1">
      <alignment horizontal="left" vertical="top" wrapText="1"/>
    </xf>
    <xf numFmtId="0" fontId="14" fillId="0" borderId="21" xfId="0" applyFont="1" applyBorder="1" applyAlignment="1">
      <alignment horizontal="left" vertical="top" wrapText="1"/>
    </xf>
    <xf numFmtId="0" fontId="7" fillId="0" borderId="17" xfId="0" applyFont="1" applyBorder="1" applyAlignment="1">
      <alignment horizontal="center" vertical="center"/>
    </xf>
  </cellXfs>
  <cellStyles count="5">
    <cellStyle name="Comma" xfId="3" builtinId="3"/>
    <cellStyle name="Currency" xfId="1" builtinId="4"/>
    <cellStyle name="Hyperlink" xfId="4" builtinId="8"/>
    <cellStyle name="Normal" xfId="0" builtinId="0"/>
    <cellStyle name="Percent" xfId="2" builtinId="5"/>
  </cellStyles>
  <dxfs count="46">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C4DE91"/>
        </patternFill>
      </fill>
    </dxf>
    <dxf>
      <font>
        <b val="0"/>
        <i/>
        <color theme="1" tint="0.499984740745262"/>
      </font>
      <fill>
        <patternFill>
          <bgColor rgb="FFC5DE92"/>
        </patternFill>
      </fill>
    </dxf>
    <dxf>
      <fill>
        <patternFill>
          <bgColor rgb="FFC5DE92"/>
        </patternFill>
      </fill>
    </dxf>
    <dxf>
      <fill>
        <patternFill>
          <bgColor rgb="FFFBB04C"/>
        </patternFill>
      </fill>
    </dxf>
    <dxf>
      <fill>
        <patternFill>
          <bgColor rgb="FF474A4A"/>
        </patternFill>
      </fill>
    </dxf>
    <dxf>
      <fill>
        <patternFill>
          <bgColor rgb="FF474A4A"/>
        </patternFill>
      </fill>
    </dxf>
    <dxf>
      <fill>
        <patternFill>
          <bgColor rgb="FF474A4A"/>
        </patternFill>
      </fill>
    </dxf>
    <dxf>
      <fill>
        <patternFill>
          <bgColor rgb="FF474A4A"/>
        </patternFill>
      </fill>
    </dxf>
    <dxf>
      <fill>
        <patternFill>
          <bgColor rgb="FF474A4A"/>
        </patternFill>
      </fill>
    </dxf>
    <dxf>
      <font>
        <b/>
        <i val="0"/>
        <strike val="0"/>
        <condense val="0"/>
        <extend val="0"/>
        <outline val="0"/>
        <shadow val="0"/>
        <u val="none"/>
        <vertAlign val="baseline"/>
        <sz val="10"/>
        <color rgb="FF474A4A"/>
        <name val="Arial"/>
        <family val="2"/>
        <scheme val="none"/>
      </font>
      <alignment horizontal="right" vertical="center" textRotation="0" wrapText="0" indent="0" justifyLastLine="0" shrinkToFit="0" readingOrder="0"/>
    </dxf>
    <dxf>
      <border outline="0">
        <top style="double">
          <color rgb="FF474A4A"/>
        </top>
      </border>
    </dxf>
    <dxf>
      <font>
        <b val="0"/>
        <i/>
        <strike val="0"/>
        <condense val="0"/>
        <extend val="0"/>
        <outline val="0"/>
        <shadow val="0"/>
        <u val="none"/>
        <vertAlign val="baseline"/>
        <sz val="10"/>
        <color rgb="FF474A4A"/>
        <name val="Arial"/>
        <family val="2"/>
        <scheme val="none"/>
      </font>
      <numFmt numFmtId="164" formatCode="_(* #,##0_);_(* \(#,##0\);_(* &quot;-&quot;??_);_(@_)"/>
      <fill>
        <patternFill patternType="solid">
          <fgColor indexed="64"/>
          <bgColor rgb="FFC4DE91"/>
        </patternFill>
      </fill>
      <alignment horizontal="left" vertical="center" textRotation="0" wrapText="0" indent="0" justifyLastLine="0" shrinkToFit="0" readingOrder="0"/>
      <border diagonalUp="0" diagonalDown="0">
        <left style="thin">
          <color rgb="FF505454"/>
        </left>
        <right style="thin">
          <color rgb="FF505454"/>
        </right>
        <top style="thin">
          <color rgb="FF505454"/>
        </top>
        <bottom style="thin">
          <color rgb="FF505454"/>
        </bottom>
        <vertical/>
        <horizontal/>
      </border>
      <protection locked="1" hidden="1"/>
    </dxf>
    <dxf>
      <font>
        <b val="0"/>
        <i/>
        <strike val="0"/>
        <condense val="0"/>
        <extend val="0"/>
        <outline val="0"/>
        <shadow val="0"/>
        <u val="none"/>
        <vertAlign val="baseline"/>
        <sz val="10"/>
        <color rgb="FF474A4A"/>
        <name val="Arial"/>
        <family val="2"/>
        <scheme val="none"/>
      </font>
      <numFmt numFmtId="164" formatCode="_(* #,##0_);_(* \(#,##0\);_(* &quot;-&quot;??_);_(@_)"/>
      <fill>
        <patternFill patternType="solid">
          <fgColor indexed="64"/>
          <bgColor rgb="FFC4DE91"/>
        </patternFill>
      </fill>
      <alignment horizontal="left" vertical="center" textRotation="0" wrapText="0" indent="0" justifyLastLine="0" shrinkToFit="0" readingOrder="0"/>
      <border diagonalUp="0" diagonalDown="0">
        <left style="thin">
          <color rgb="FF505454"/>
        </left>
        <right style="thin">
          <color rgb="FF505454"/>
        </right>
        <top style="thin">
          <color rgb="FF505454"/>
        </top>
        <bottom style="thin">
          <color rgb="FF505454"/>
        </bottom>
        <vertical/>
        <horizontal/>
      </border>
      <protection locked="1" hidden="1"/>
    </dxf>
    <dxf>
      <border outline="0">
        <bottom style="thin">
          <color rgb="FF505454"/>
        </bottom>
      </border>
    </dxf>
    <dxf>
      <font>
        <b val="0"/>
        <i/>
        <strike val="0"/>
        <condense val="0"/>
        <extend val="0"/>
        <outline val="0"/>
        <shadow val="0"/>
        <u val="none"/>
        <vertAlign val="baseline"/>
        <sz val="10"/>
        <color rgb="FF474A4A"/>
        <name val="Arial"/>
        <family val="2"/>
        <scheme val="none"/>
      </font>
      <fill>
        <patternFill patternType="solid">
          <fgColor indexed="64"/>
          <bgColor rgb="FFC4DE91"/>
        </patternFill>
      </fill>
      <alignment horizontal="left" vertical="center" textRotation="0" wrapText="0" indent="0" justifyLastLine="0" shrinkToFit="0" readingOrder="0"/>
      <protection locked="1" hidden="1"/>
    </dxf>
    <dxf>
      <font>
        <b/>
        <i val="0"/>
        <strike val="0"/>
        <condense val="0"/>
        <extend val="0"/>
        <outline val="0"/>
        <shadow val="0"/>
        <u val="none"/>
        <vertAlign val="baseline"/>
        <sz val="10"/>
        <color rgb="FF474A4A"/>
        <name val="Arial"/>
        <family val="2"/>
        <scheme val="none"/>
      </font>
      <fill>
        <patternFill patternType="solid">
          <fgColor indexed="64"/>
          <bgColor rgb="FFC4DE91"/>
        </patternFill>
      </fill>
      <alignment horizontal="general" vertical="center" textRotation="0" wrapText="0" indent="0" justifyLastLine="0" shrinkToFit="0" readingOrder="0"/>
      <border diagonalUp="0" diagonalDown="0">
        <left style="thin">
          <color rgb="FF505454"/>
        </left>
        <right style="thin">
          <color rgb="FF505454"/>
        </right>
        <top style="thin">
          <color rgb="FF505454"/>
        </top>
        <bottom style="thin">
          <color rgb="FF505454"/>
        </bottom>
        <vertical/>
        <horizontal/>
      </border>
      <protection locked="1" hidden="1"/>
    </dxf>
    <dxf>
      <font>
        <b/>
        <i val="0"/>
        <strike val="0"/>
        <condense val="0"/>
        <extend val="0"/>
        <outline val="0"/>
        <shadow val="0"/>
        <u val="none"/>
        <vertAlign val="baseline"/>
        <sz val="10"/>
        <color rgb="FF474A4A"/>
        <name val="Arial"/>
        <family val="2"/>
        <scheme val="none"/>
      </font>
      <alignment horizontal="right" vertical="center" textRotation="0" wrapText="0" indent="0" justifyLastLine="0" shrinkToFit="0" readingOrder="0"/>
    </dxf>
    <dxf>
      <border outline="0">
        <top style="double">
          <color rgb="FF474A4A"/>
        </top>
      </border>
    </dxf>
    <dxf>
      <font>
        <b/>
        <i val="0"/>
        <strike val="0"/>
        <condense val="0"/>
        <extend val="0"/>
        <outline val="0"/>
        <shadow val="0"/>
        <u val="none"/>
        <vertAlign val="baseline"/>
        <sz val="10"/>
        <color rgb="FF474A4A"/>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rgb="FF474A4A"/>
        <name val="Arial"/>
        <family val="2"/>
        <scheme val="none"/>
      </font>
    </dxf>
    <dxf>
      <font>
        <b/>
        <i val="0"/>
        <strike val="0"/>
        <condense val="0"/>
        <extend val="0"/>
        <outline val="0"/>
        <shadow val="0"/>
        <u val="none"/>
        <vertAlign val="baseline"/>
        <sz val="10"/>
        <color rgb="FF474A4A"/>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rgb="FF474A4A"/>
        <name val="Arial"/>
        <family val="2"/>
        <scheme val="none"/>
      </font>
    </dxf>
    <dxf>
      <font>
        <b/>
        <i val="0"/>
        <strike val="0"/>
        <condense val="0"/>
        <extend val="0"/>
        <outline val="0"/>
        <shadow val="0"/>
        <u val="none"/>
        <vertAlign val="baseline"/>
        <sz val="10"/>
        <color rgb="FF474A4A"/>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474A4A"/>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0"/>
        <color rgb="FF474A4A"/>
        <name val="Arial"/>
        <family val="2"/>
        <scheme val="none"/>
      </font>
      <fill>
        <patternFill patternType="solid">
          <fgColor indexed="64"/>
          <bgColor rgb="FFE4E1DC"/>
        </patternFill>
      </fill>
      <alignment horizontal="left" vertical="center" textRotation="0" wrapText="0" indent="0" justifyLastLine="0" shrinkToFit="0" readingOrder="0"/>
      <border diagonalUp="0" diagonalDown="0">
        <left style="thin">
          <color rgb="FF474A4A"/>
        </left>
        <right style="thin">
          <color rgb="FF474A4A"/>
        </right>
        <top style="thin">
          <color rgb="FF474A4A"/>
        </top>
        <bottom style="thin">
          <color rgb="FF474A4A"/>
        </bottom>
        <vertical/>
        <horizontal/>
      </border>
      <protection locked="0" hidden="0"/>
    </dxf>
    <dxf>
      <font>
        <b/>
        <i val="0"/>
        <strike val="0"/>
        <condense val="0"/>
        <extend val="0"/>
        <outline val="0"/>
        <shadow val="0"/>
        <u val="none"/>
        <vertAlign val="baseline"/>
        <sz val="10"/>
        <color rgb="FF474A4A"/>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0"/>
        <color rgb="FF474A4A"/>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6"/>
        <color rgb="FF474A4A"/>
        <name val="Arial"/>
        <family val="2"/>
        <scheme val="none"/>
      </font>
      <alignment horizontal="center" vertical="center" textRotation="0" wrapText="1" indent="0" justifyLastLine="0" shrinkToFit="0" readingOrder="0"/>
    </dxf>
    <dxf>
      <fill>
        <patternFill patternType="none">
          <bgColor auto="1"/>
        </patternFill>
      </fill>
      <border diagonalUp="0" diagonalDown="0">
        <left/>
        <right/>
        <top/>
        <bottom/>
        <vertical/>
        <horizontal/>
      </border>
    </dxf>
  </dxfs>
  <tableStyles count="1" defaultTableStyle="TableStyleMedium2" defaultPivotStyle="PivotStyleLight16">
    <tableStyle name="Table Style 1" pivot="0" count="1" xr9:uid="{70A11B51-A7A7-466A-8EB4-7701A527B8A2}">
      <tableStyleElement type="wholeTable" dxfId="45"/>
    </tableStyle>
  </tableStyles>
  <colors>
    <mruColors>
      <color rgb="FFE4E1DC"/>
      <color rgb="FF474A4A"/>
      <color rgb="FF47474A"/>
      <color rgb="FFC4DE91"/>
      <color rgb="FFFBB04C"/>
      <color rgb="FF152140"/>
      <color rgb="FF505454"/>
      <color rgb="FF5A94C5"/>
      <color rgb="FF474B4A"/>
      <color rgb="FFC5DE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543783</xdr:colOff>
      <xdr:row>0</xdr:row>
      <xdr:rowOff>34133</xdr:rowOff>
    </xdr:from>
    <xdr:to>
      <xdr:col>2</xdr:col>
      <xdr:colOff>1557996</xdr:colOff>
      <xdr:row>2</xdr:row>
      <xdr:rowOff>109609</xdr:rowOff>
    </xdr:to>
    <xdr:pic>
      <xdr:nvPicPr>
        <xdr:cNvPr id="2" name="Picture 1" descr="Silicon Valley Power | NCPA">
          <a:extLst>
            <a:ext uri="{FF2B5EF4-FFF2-40B4-BE49-F238E27FC236}">
              <a16:creationId xmlns:a16="http://schemas.microsoft.com/office/drawing/2014/main" id="{7DF63CDA-7B10-489D-88DD-19FF60AB51F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533" t="24667" r="11867" b="24133"/>
        <a:stretch/>
      </xdr:blipFill>
      <xdr:spPr bwMode="auto">
        <a:xfrm>
          <a:off x="1362933" y="34133"/>
          <a:ext cx="1014213" cy="702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2064DDC-6B77-4ABA-8729-195E6AD1509D}" name="README" displayName="README" ref="B2:B131" totalsRowShown="0" headerRowDxfId="44">
  <tableColumns count="1">
    <tableColumn id="1" xr3:uid="{FCC9E9EF-EDBD-4938-B134-8681BDBC6FCB}" name="Silicon Valley Power Residential Electrification Estimator README"/>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58B08-C1CC-49BB-A581-DE4F91A8FC64}" name="ApplianceTypes" displayName="ApplianceTypes" ref="C14:G25" totalsRowShown="0" headerRowDxfId="43">
  <tableColumns count="5">
    <tableColumn id="1" xr3:uid="{E33E3E70-EBB9-4BBA-B6C1-EE8E5CBF3FA7}" name=" " dataDxfId="42"/>
    <tableColumn id="2" xr3:uid="{E12C5327-8A03-44F1-BE53-FBA363FF5BC9}" name="HVAC Equipment"/>
    <tableColumn id="3" xr3:uid="{585E2D24-810E-4891-AA4D-F037901BCB3D}" name="Water Heater"/>
    <tableColumn id="4" xr3:uid="{2045F046-A219-4EE9-90A1-953197B60DEB}" name="Cooktop/Range/Oven "/>
    <tableColumn id="5" xr3:uid="{E124F060-10E5-4ACA-B3E2-38B3263D0265}" name="Clothes Dryer"/>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B7B0F2-C2D9-45D9-B498-D2D6E823456E}" name="HomeInfo1" displayName="HomeInfo1" ref="C7:D10" totalsRowShown="0">
  <tableColumns count="2">
    <tableColumn id="1" xr3:uid="{80400A24-FF39-40D6-8FF9-79A405F1BD79}" name="Home Information"/>
    <tableColumn id="2" xr3:uid="{A34049CC-1B00-4597-B3B1-94E24239F219}" name=" " dataDxfId="4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3402AC7-383C-40BA-AD21-73A401F5D560}" name="HomeInfo2" displayName="HomeInfo2" ref="E7:F10" totalsRowShown="0" headerRowDxfId="40">
  <tableColumns count="2">
    <tableColumn id="1" xr3:uid="{020EAEAF-FF2D-4631-B62F-298BE3D1B1F9}" name=" " dataDxfId="39"/>
    <tableColumn id="2" xr3:uid="{E898F1C3-1E45-4783-A5BD-B7AF48412058}" name="  "/>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83554A2-23A7-4A38-905C-DEAFC15DA3EC}" name="PermitPanel1" displayName="PermitPanel1" ref="C30:D32" totalsRowShown="0" headerRowDxfId="38">
  <tableColumns count="2">
    <tableColumn id="1" xr3:uid="{2445F12C-E680-4837-812C-27F960E4EB9F}" name=" " dataDxfId="37"/>
    <tableColumn id="2" xr3:uid="{4E18C069-E353-4A5A-8E9C-0B0AB04BDDCB}" name="  "/>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5A4D7C-3F03-4E1F-9434-9BF667FBA39F}" name="PermitPanel2" displayName="PermitPanel2" ref="E30:F32" totalsRowShown="0" headerRowDxfId="36">
  <tableColumns count="2">
    <tableColumn id="1" xr3:uid="{24175334-99F5-4BF3-BEDE-0336087E33BF}" name=" " dataDxfId="35"/>
    <tableColumn id="2" xr3:uid="{243A34A3-77DD-4C9D-8425-98A1D0D94D1E}" name="  "/>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CF873F-5A37-49A8-AB70-037D5F41EE6D}" name="Results1" displayName="Results1" ref="C34:D39" totalsRowShown="0" tableBorderDxfId="34">
  <tableColumns count="2">
    <tableColumn id="1" xr3:uid="{E18875B5-39E5-4B93-BC7D-EB7AA9F03583}" name="Results" dataDxfId="33"/>
    <tableColumn id="2" xr3:uid="{BF1E9FB0-419C-40BB-BC8E-07BE1BB91E97}" name=" " dataDxfId="32" dataCellStyle="Currency"/>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F9A5342-50A0-4B7C-A951-2F2CB9A007E6}" name="Results3" displayName="Results3" ref="C40:D43" totalsRowShown="0" dataDxfId="31" tableBorderDxfId="30" dataCellStyle="Comma">
  <tableColumns count="2">
    <tableColumn id="1" xr3:uid="{88675C31-1633-4B39-88FD-C618DB6D138D}" name="This is equivalent to:" dataDxfId="29" dataCellStyle="Comma"/>
    <tableColumn id="2" xr3:uid="{BA9E0717-D3EC-4A18-8582-E0DCD0810925}" name=" " dataDxfId="28" dataCellStyle="Comma"/>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5F669D5-6F1A-4EDC-B53E-94CA12A757DD}" name="Results2" displayName="Results2" ref="E34:F41" totalsRowShown="0" tableBorderDxfId="27">
  <tableColumns count="2">
    <tableColumn id="1" xr3:uid="{27427C3D-AFF8-47F1-9F08-69952DEAE47B}" name=" " dataDxfId="26"/>
    <tableColumn id="2" xr3:uid="{E23B6F11-BD9C-42E2-8502-28681B0C0808}" name="  "/>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iliconvalleypower.com/residents/" TargetMode="External"/><Relationship Id="rId7" Type="http://schemas.openxmlformats.org/officeDocument/2006/relationships/hyperlink" Target="https://www.epa.gov/energy/greenhouse-gas-equivalencies-calculator" TargetMode="External"/><Relationship Id="rId2" Type="http://schemas.openxmlformats.org/officeDocument/2006/relationships/hyperlink" Target="https://www.santaclaraca.gov/our-city/departments-a-f/community-development/permit-center" TargetMode="External"/><Relationship Id="rId1" Type="http://schemas.openxmlformats.org/officeDocument/2006/relationships/hyperlink" Target="https://www.siliconvalleypower.com/residents/" TargetMode="External"/><Relationship Id="rId6" Type="http://schemas.openxmlformats.org/officeDocument/2006/relationships/hyperlink" Target="https://www.caetrm.com/" TargetMode="External"/><Relationship Id="rId5" Type="http://schemas.openxmlformats.org/officeDocument/2006/relationships/hyperlink" Target="https://www.pge.com/tariffs/Residential.pdf" TargetMode="External"/><Relationship Id="rId4" Type="http://schemas.openxmlformats.org/officeDocument/2006/relationships/hyperlink" Target="https://www.siliconvalleypower.com/residents/rates-and-fees" TargetMode="Externa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drawing" Target="../drawings/drawing1.xml"/><Relationship Id="rId7" Type="http://schemas.openxmlformats.org/officeDocument/2006/relationships/table" Target="../tables/table5.xml"/><Relationship Id="rId2" Type="http://schemas.openxmlformats.org/officeDocument/2006/relationships/printerSettings" Target="../printerSettings/printerSettings2.bin"/><Relationship Id="rId1" Type="http://schemas.openxmlformats.org/officeDocument/2006/relationships/hyperlink" Target="https://www.siliconvalleypower.com/residents/electrification-programs" TargetMode="External"/><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siliconvalleypower.com/home/showpublisheddocument/58854/638084315744570000" TargetMode="External"/><Relationship Id="rId2" Type="http://schemas.openxmlformats.org/officeDocument/2006/relationships/hyperlink" Target="https://www.pge.com/tariffs/Residential.pdf" TargetMode="External"/><Relationship Id="rId1" Type="http://schemas.openxmlformats.org/officeDocument/2006/relationships/hyperlink" Target="https://www.siliconvalleypower.com/residents/rates-and-fees" TargetMode="External"/><Relationship Id="rId5" Type="http://schemas.openxmlformats.org/officeDocument/2006/relationships/printerSettings" Target="../printerSettings/printerSettings5.bin"/><Relationship Id="rId4" Type="http://schemas.openxmlformats.org/officeDocument/2006/relationships/hyperlink" Target="https://www.siliconvalleypower.com/home/showpublisheddocument/6253/638084314235470000"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portfoliomanager.energystar.gov/pdf/reference/Thermal%20Conversions.pdf" TargetMode="External"/><Relationship Id="rId7" Type="http://schemas.openxmlformats.org/officeDocument/2006/relationships/hyperlink" Target="https://www.caetrm.com/measure/SWHC045/03/" TargetMode="External"/><Relationship Id="rId2" Type="http://schemas.openxmlformats.org/officeDocument/2006/relationships/hyperlink" Target="https://www.siliconvalleypower.com/home/showpublisheddocument/6253/637770890050400000" TargetMode="External"/><Relationship Id="rId1" Type="http://schemas.openxmlformats.org/officeDocument/2006/relationships/hyperlink" Target="https://www.pge.com/tariffs/assets/pdf/tariffbook/GAS_SCHEDS_G-1.pdf" TargetMode="External"/><Relationship Id="rId6" Type="http://schemas.openxmlformats.org/officeDocument/2006/relationships/hyperlink" Target="https://www.caetrm.com/measure/SWHC044/04/" TargetMode="External"/><Relationship Id="rId5" Type="http://schemas.openxmlformats.org/officeDocument/2006/relationships/hyperlink" Target="https://www.epa.gov/energy/greenhouse-gases-equivalencies-calculator-calculations-and-references" TargetMode="External"/><Relationship Id="rId4" Type="http://schemas.openxmlformats.org/officeDocument/2006/relationships/hyperlink" Target="https://portfoliomanager.energystar.gov/pdf/reference/Thermal%20Conver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2872-A1DC-4213-956D-748A11F8831D}">
  <sheetPr codeName="Sheet1"/>
  <dimension ref="B1:D132"/>
  <sheetViews>
    <sheetView showGridLines="0" zoomScaleNormal="100" workbookViewId="0">
      <selection activeCell="B29" sqref="B29"/>
    </sheetView>
  </sheetViews>
  <sheetFormatPr defaultColWidth="9.140625" defaultRowHeight="14.25" x14ac:dyDescent="0.2"/>
  <cols>
    <col min="1" max="1" width="4.140625" style="61" customWidth="1"/>
    <col min="2" max="2" width="132.85546875" style="60" customWidth="1"/>
    <col min="3" max="16384" width="9.140625" style="61"/>
  </cols>
  <sheetData>
    <row r="1" spans="2:4" x14ac:dyDescent="0.2">
      <c r="B1" s="125"/>
      <c r="D1" s="59"/>
    </row>
    <row r="2" spans="2:4" ht="20.25" x14ac:dyDescent="0.2">
      <c r="B2" s="62" t="s">
        <v>220</v>
      </c>
      <c r="C2" s="102" t="str">
        <f>lookup!K15</f>
        <v>Last update March 2024</v>
      </c>
    </row>
    <row r="3" spans="2:4" x14ac:dyDescent="0.2">
      <c r="B3" s="125"/>
      <c r="D3" s="59"/>
    </row>
    <row r="4" spans="2:4" ht="18" x14ac:dyDescent="0.2">
      <c r="B4" s="138" t="s">
        <v>221</v>
      </c>
    </row>
    <row r="5" spans="2:4" ht="57" x14ac:dyDescent="0.2">
      <c r="B5" s="64" t="s">
        <v>378</v>
      </c>
    </row>
    <row r="6" spans="2:4" ht="7.9" customHeight="1" x14ac:dyDescent="0.2">
      <c r="B6" s="64"/>
    </row>
    <row r="7" spans="2:4" ht="15" x14ac:dyDescent="0.2">
      <c r="B7" s="63" t="s">
        <v>222</v>
      </c>
    </row>
    <row r="8" spans="2:4" ht="28.5" x14ac:dyDescent="0.2">
      <c r="B8" s="64" t="s">
        <v>391</v>
      </c>
    </row>
    <row r="9" spans="2:4" ht="7.9" customHeight="1" x14ac:dyDescent="0.2">
      <c r="B9" s="64"/>
    </row>
    <row r="10" spans="2:4" ht="15" x14ac:dyDescent="0.2">
      <c r="B10" s="63" t="s">
        <v>392</v>
      </c>
    </row>
    <row r="11" spans="2:4" ht="42.75" x14ac:dyDescent="0.2">
      <c r="B11" s="64" t="s">
        <v>387</v>
      </c>
    </row>
    <row r="12" spans="2:4" ht="7.9" customHeight="1" x14ac:dyDescent="0.2">
      <c r="B12" s="64"/>
    </row>
    <row r="13" spans="2:4" ht="18" x14ac:dyDescent="0.2">
      <c r="B13" s="138" t="s">
        <v>169</v>
      </c>
    </row>
    <row r="14" spans="2:4" ht="71.25" x14ac:dyDescent="0.2">
      <c r="B14" s="64" t="s">
        <v>332</v>
      </c>
    </row>
    <row r="15" spans="2:4" ht="7.9" customHeight="1" x14ac:dyDescent="0.2">
      <c r="B15" s="64"/>
    </row>
    <row r="16" spans="2:4" ht="18" x14ac:dyDescent="0.2">
      <c r="B16" s="138" t="s">
        <v>223</v>
      </c>
    </row>
    <row r="17" spans="2:2" ht="28.5" x14ac:dyDescent="0.2">
      <c r="B17" s="64" t="s">
        <v>307</v>
      </c>
    </row>
    <row r="18" spans="2:2" ht="7.9" customHeight="1" x14ac:dyDescent="0.2">
      <c r="B18" s="64"/>
    </row>
    <row r="19" spans="2:2" ht="15" x14ac:dyDescent="0.2">
      <c r="B19" s="63" t="s">
        <v>0</v>
      </c>
    </row>
    <row r="20" spans="2:2" ht="28.5" x14ac:dyDescent="0.2">
      <c r="B20" s="64" t="s">
        <v>333</v>
      </c>
    </row>
    <row r="21" spans="2:2" ht="7.9" customHeight="1" x14ac:dyDescent="0.2">
      <c r="B21" s="64"/>
    </row>
    <row r="22" spans="2:2" ht="15" x14ac:dyDescent="0.2">
      <c r="B22" s="63" t="s">
        <v>1</v>
      </c>
    </row>
    <row r="23" spans="2:2" ht="42.75" x14ac:dyDescent="0.2">
      <c r="B23" s="64" t="s">
        <v>334</v>
      </c>
    </row>
    <row r="24" spans="2:2" ht="7.9" customHeight="1" x14ac:dyDescent="0.2">
      <c r="B24" s="64"/>
    </row>
    <row r="25" spans="2:2" ht="15" x14ac:dyDescent="0.2">
      <c r="B25" s="63" t="s">
        <v>367</v>
      </c>
    </row>
    <row r="26" spans="2:2" ht="42.75" x14ac:dyDescent="0.2">
      <c r="B26" s="64" t="s">
        <v>335</v>
      </c>
    </row>
    <row r="27" spans="2:2" ht="7.9" customHeight="1" x14ac:dyDescent="0.2">
      <c r="B27" s="64"/>
    </row>
    <row r="28" spans="2:2" ht="15" x14ac:dyDescent="0.2">
      <c r="B28" s="63" t="s">
        <v>328</v>
      </c>
    </row>
    <row r="29" spans="2:2" ht="28.5" x14ac:dyDescent="0.2">
      <c r="B29" s="64" t="s">
        <v>336</v>
      </c>
    </row>
    <row r="30" spans="2:2" ht="7.9" customHeight="1" x14ac:dyDescent="0.2">
      <c r="B30" s="64"/>
    </row>
    <row r="31" spans="2:2" ht="15" x14ac:dyDescent="0.2">
      <c r="B31" s="63" t="s">
        <v>306</v>
      </c>
    </row>
    <row r="32" spans="2:2" ht="42.75" x14ac:dyDescent="0.2">
      <c r="B32" s="64" t="s">
        <v>337</v>
      </c>
    </row>
    <row r="33" spans="2:2" ht="7.9" customHeight="1" x14ac:dyDescent="0.2">
      <c r="B33" s="64"/>
    </row>
    <row r="34" spans="2:2" ht="15" x14ac:dyDescent="0.2">
      <c r="B34" s="63" t="s">
        <v>170</v>
      </c>
    </row>
    <row r="35" spans="2:2" ht="28.5" x14ac:dyDescent="0.2">
      <c r="B35" s="64" t="s">
        <v>338</v>
      </c>
    </row>
    <row r="36" spans="2:2" ht="7.9" customHeight="1" x14ac:dyDescent="0.2">
      <c r="B36" s="64"/>
    </row>
    <row r="37" spans="2:2" ht="15" x14ac:dyDescent="0.2">
      <c r="B37" s="63" t="s">
        <v>10</v>
      </c>
    </row>
    <row r="38" spans="2:2" ht="61.5" customHeight="1" x14ac:dyDescent="0.2">
      <c r="B38" s="64" t="s">
        <v>339</v>
      </c>
    </row>
    <row r="39" spans="2:2" ht="7.9" customHeight="1" x14ac:dyDescent="0.2">
      <c r="B39" s="64"/>
    </row>
    <row r="40" spans="2:2" ht="15" x14ac:dyDescent="0.2">
      <c r="B40" s="63" t="s">
        <v>304</v>
      </c>
    </row>
    <row r="41" spans="2:2" ht="57" x14ac:dyDescent="0.2">
      <c r="B41" s="64" t="s">
        <v>340</v>
      </c>
    </row>
    <row r="42" spans="2:2" ht="7.9" customHeight="1" x14ac:dyDescent="0.2">
      <c r="B42" s="64"/>
    </row>
    <row r="43" spans="2:2" ht="15" x14ac:dyDescent="0.2">
      <c r="B43" s="63" t="s">
        <v>323</v>
      </c>
    </row>
    <row r="44" spans="2:2" ht="57" x14ac:dyDescent="0.2">
      <c r="B44" s="64" t="s">
        <v>341</v>
      </c>
    </row>
    <row r="45" spans="2:2" ht="7.9" customHeight="1" x14ac:dyDescent="0.2">
      <c r="B45" s="64"/>
    </row>
    <row r="46" spans="2:2" ht="15" x14ac:dyDescent="0.2">
      <c r="B46" s="63" t="s">
        <v>365</v>
      </c>
    </row>
    <row r="47" spans="2:2" ht="72.75" customHeight="1" x14ac:dyDescent="0.2">
      <c r="B47" s="60" t="s">
        <v>370</v>
      </c>
    </row>
    <row r="48" spans="2:2" ht="7.9" customHeight="1" x14ac:dyDescent="0.2"/>
    <row r="49" spans="2:2" ht="15" x14ac:dyDescent="0.2">
      <c r="B49" s="63" t="s">
        <v>363</v>
      </c>
    </row>
    <row r="50" spans="2:2" ht="86.25" customHeight="1" x14ac:dyDescent="0.2">
      <c r="B50" s="64" t="s">
        <v>371</v>
      </c>
    </row>
    <row r="51" spans="2:2" ht="7.9" customHeight="1" x14ac:dyDescent="0.2">
      <c r="B51" s="64"/>
    </row>
    <row r="52" spans="2:2" ht="15" x14ac:dyDescent="0.2">
      <c r="B52" s="63" t="s">
        <v>324</v>
      </c>
    </row>
    <row r="53" spans="2:2" ht="39" customHeight="1" x14ac:dyDescent="0.2">
      <c r="B53" s="64" t="s">
        <v>372</v>
      </c>
    </row>
    <row r="54" spans="2:2" ht="7.9" customHeight="1" x14ac:dyDescent="0.2">
      <c r="B54" s="64"/>
    </row>
    <row r="55" spans="2:2" ht="15" x14ac:dyDescent="0.2">
      <c r="B55" s="63" t="s">
        <v>375</v>
      </c>
    </row>
    <row r="56" spans="2:2" ht="28.5" x14ac:dyDescent="0.2">
      <c r="B56" s="64" t="s">
        <v>317</v>
      </c>
    </row>
    <row r="57" spans="2:2" ht="7.9" customHeight="1" x14ac:dyDescent="0.2">
      <c r="B57" s="64"/>
    </row>
    <row r="58" spans="2:2" ht="15" x14ac:dyDescent="0.2">
      <c r="B58" s="63" t="s">
        <v>69</v>
      </c>
    </row>
    <row r="59" spans="2:2" x14ac:dyDescent="0.2">
      <c r="B59" s="64" t="s">
        <v>299</v>
      </c>
    </row>
    <row r="60" spans="2:2" x14ac:dyDescent="0.2">
      <c r="B60" s="126" t="s">
        <v>342</v>
      </c>
    </row>
    <row r="61" spans="2:2" ht="7.9" customHeight="1" x14ac:dyDescent="0.2">
      <c r="B61" s="126"/>
    </row>
    <row r="62" spans="2:2" ht="15" x14ac:dyDescent="0.2">
      <c r="B62" s="63" t="s">
        <v>111</v>
      </c>
    </row>
    <row r="63" spans="2:2" ht="28.5" x14ac:dyDescent="0.2">
      <c r="B63" s="64" t="s">
        <v>343</v>
      </c>
    </row>
    <row r="64" spans="2:2" ht="7.9" customHeight="1" x14ac:dyDescent="0.2">
      <c r="B64" s="64"/>
    </row>
    <row r="65" spans="2:2" ht="15" x14ac:dyDescent="0.2">
      <c r="B65" s="63" t="s">
        <v>112</v>
      </c>
    </row>
    <row r="66" spans="2:2" ht="28.5" x14ac:dyDescent="0.2">
      <c r="B66" s="64" t="s">
        <v>308</v>
      </c>
    </row>
    <row r="67" spans="2:2" ht="7.9" customHeight="1" x14ac:dyDescent="0.2">
      <c r="B67" s="64"/>
    </row>
    <row r="68" spans="2:2" ht="15" x14ac:dyDescent="0.2">
      <c r="B68" s="63" t="s">
        <v>368</v>
      </c>
    </row>
    <row r="69" spans="2:2" ht="28.5" x14ac:dyDescent="0.2">
      <c r="B69" s="64" t="s">
        <v>344</v>
      </c>
    </row>
    <row r="70" spans="2:2" ht="7.9" customHeight="1" x14ac:dyDescent="0.2">
      <c r="B70" s="64"/>
    </row>
    <row r="71" spans="2:2" ht="18" x14ac:dyDescent="0.2">
      <c r="B71" s="138" t="s">
        <v>224</v>
      </c>
    </row>
    <row r="72" spans="2:2" x14ac:dyDescent="0.2">
      <c r="B72" s="64" t="s">
        <v>345</v>
      </c>
    </row>
    <row r="73" spans="2:2" ht="7.9" customHeight="1" x14ac:dyDescent="0.2">
      <c r="B73" s="64"/>
    </row>
    <row r="74" spans="2:2" ht="15" x14ac:dyDescent="0.2">
      <c r="B74" s="63" t="s">
        <v>302</v>
      </c>
    </row>
    <row r="75" spans="2:2" ht="48.6" customHeight="1" x14ac:dyDescent="0.2">
      <c r="B75" s="64" t="s">
        <v>346</v>
      </c>
    </row>
    <row r="76" spans="2:2" x14ac:dyDescent="0.2">
      <c r="B76" s="126" t="s">
        <v>318</v>
      </c>
    </row>
    <row r="77" spans="2:2" x14ac:dyDescent="0.2">
      <c r="B77" s="126" t="s">
        <v>319</v>
      </c>
    </row>
    <row r="78" spans="2:2" ht="7.9" customHeight="1" x14ac:dyDescent="0.2">
      <c r="B78" s="126"/>
    </row>
    <row r="79" spans="2:2" ht="15" x14ac:dyDescent="0.2">
      <c r="B79" s="63" t="s">
        <v>347</v>
      </c>
    </row>
    <row r="80" spans="2:2" ht="28.5" x14ac:dyDescent="0.2">
      <c r="B80" s="64" t="s">
        <v>348</v>
      </c>
    </row>
    <row r="81" spans="2:2" ht="7.9" customHeight="1" x14ac:dyDescent="0.2">
      <c r="B81" s="64"/>
    </row>
    <row r="82" spans="2:2" ht="15" x14ac:dyDescent="0.2">
      <c r="B82" s="63" t="s">
        <v>349</v>
      </c>
    </row>
    <row r="83" spans="2:2" ht="30" customHeight="1" x14ac:dyDescent="0.2">
      <c r="B83" s="64" t="s">
        <v>373</v>
      </c>
    </row>
    <row r="84" spans="2:2" ht="7.9" customHeight="1" x14ac:dyDescent="0.2">
      <c r="B84" s="64"/>
    </row>
    <row r="85" spans="2:2" ht="15" x14ac:dyDescent="0.2">
      <c r="B85" s="63" t="s">
        <v>312</v>
      </c>
    </row>
    <row r="86" spans="2:2" ht="28.5" x14ac:dyDescent="0.2">
      <c r="B86" s="64" t="s">
        <v>350</v>
      </c>
    </row>
    <row r="87" spans="2:2" ht="7.9" customHeight="1" x14ac:dyDescent="0.2">
      <c r="B87" s="64"/>
    </row>
    <row r="88" spans="2:2" ht="15" x14ac:dyDescent="0.2">
      <c r="B88" s="63" t="s">
        <v>12</v>
      </c>
    </row>
    <row r="89" spans="2:2" x14ac:dyDescent="0.2">
      <c r="B89" s="64" t="s">
        <v>351</v>
      </c>
    </row>
    <row r="90" spans="2:2" ht="7.9" customHeight="1" x14ac:dyDescent="0.2">
      <c r="B90" s="64"/>
    </row>
    <row r="91" spans="2:2" ht="15" x14ac:dyDescent="0.2">
      <c r="B91" s="63" t="s">
        <v>19</v>
      </c>
    </row>
    <row r="92" spans="2:2" x14ac:dyDescent="0.2">
      <c r="B92" s="64" t="s">
        <v>352</v>
      </c>
    </row>
    <row r="93" spans="2:2" ht="7.9" customHeight="1" x14ac:dyDescent="0.2">
      <c r="B93" s="64"/>
    </row>
    <row r="94" spans="2:2" ht="15" x14ac:dyDescent="0.2">
      <c r="B94" s="63" t="s">
        <v>20</v>
      </c>
    </row>
    <row r="95" spans="2:2" x14ac:dyDescent="0.2">
      <c r="B95" s="64" t="s">
        <v>353</v>
      </c>
    </row>
    <row r="96" spans="2:2" ht="7.9" customHeight="1" x14ac:dyDescent="0.2">
      <c r="B96" s="64"/>
    </row>
    <row r="97" spans="2:4" ht="15" x14ac:dyDescent="0.2">
      <c r="B97" s="63" t="s">
        <v>327</v>
      </c>
      <c r="D97" s="68"/>
    </row>
    <row r="98" spans="2:4" ht="114" x14ac:dyDescent="0.2">
      <c r="B98" s="64" t="s">
        <v>374</v>
      </c>
    </row>
    <row r="99" spans="2:4" ht="57" x14ac:dyDescent="0.2">
      <c r="B99" s="64" t="s">
        <v>354</v>
      </c>
    </row>
    <row r="100" spans="2:4" ht="7.9" customHeight="1" x14ac:dyDescent="0.2">
      <c r="B100" s="64"/>
    </row>
    <row r="101" spans="2:4" ht="15" x14ac:dyDescent="0.2">
      <c r="B101" s="63" t="s">
        <v>16</v>
      </c>
    </row>
    <row r="102" spans="2:4" x14ac:dyDescent="0.2">
      <c r="B102" s="64" t="s">
        <v>355</v>
      </c>
    </row>
    <row r="103" spans="2:4" ht="7.9" customHeight="1" x14ac:dyDescent="0.2">
      <c r="B103" s="64"/>
    </row>
    <row r="104" spans="2:4" ht="15" x14ac:dyDescent="0.2">
      <c r="B104" s="63" t="s">
        <v>11</v>
      </c>
    </row>
    <row r="105" spans="2:4" x14ac:dyDescent="0.2">
      <c r="B105" s="64" t="s">
        <v>356</v>
      </c>
    </row>
    <row r="106" spans="2:4" ht="7.9" customHeight="1" x14ac:dyDescent="0.2">
      <c r="B106" s="64"/>
    </row>
    <row r="107" spans="2:4" ht="15" x14ac:dyDescent="0.2">
      <c r="B107" s="127" t="s">
        <v>226</v>
      </c>
    </row>
    <row r="108" spans="2:4" ht="28.5" x14ac:dyDescent="0.2">
      <c r="B108" s="64" t="s">
        <v>309</v>
      </c>
    </row>
    <row r="109" spans="2:4" ht="7.9" customHeight="1" x14ac:dyDescent="0.2">
      <c r="B109" s="64"/>
    </row>
    <row r="110" spans="2:4" ht="15" x14ac:dyDescent="0.2">
      <c r="B110" s="63" t="s">
        <v>225</v>
      </c>
    </row>
    <row r="111" spans="2:4" ht="42.75" x14ac:dyDescent="0.2">
      <c r="B111" s="64" t="s">
        <v>310</v>
      </c>
    </row>
    <row r="112" spans="2:4" x14ac:dyDescent="0.2">
      <c r="B112" s="126" t="s">
        <v>320</v>
      </c>
    </row>
    <row r="113" spans="2:4" ht="7.9" customHeight="1" x14ac:dyDescent="0.2">
      <c r="B113" s="126"/>
    </row>
    <row r="114" spans="2:4" ht="15" x14ac:dyDescent="0.2">
      <c r="B114" s="63" t="s">
        <v>357</v>
      </c>
    </row>
    <row r="115" spans="2:4" ht="42.75" x14ac:dyDescent="0.2">
      <c r="B115" s="64" t="s">
        <v>376</v>
      </c>
    </row>
    <row r="116" spans="2:4" ht="7.9" customHeight="1" x14ac:dyDescent="0.2">
      <c r="B116" s="64"/>
    </row>
    <row r="117" spans="2:4" ht="15" x14ac:dyDescent="0.2">
      <c r="B117" s="63" t="s">
        <v>113</v>
      </c>
    </row>
    <row r="118" spans="2:4" x14ac:dyDescent="0.2">
      <c r="B118" s="64" t="s">
        <v>311</v>
      </c>
    </row>
    <row r="119" spans="2:4" ht="7.9" customHeight="1" x14ac:dyDescent="0.2">
      <c r="B119" s="64"/>
    </row>
    <row r="120" spans="2:4" ht="15" x14ac:dyDescent="0.2">
      <c r="B120" s="63" t="s">
        <v>358</v>
      </c>
    </row>
    <row r="121" spans="2:4" x14ac:dyDescent="0.2">
      <c r="B121" s="64" t="s">
        <v>360</v>
      </c>
    </row>
    <row r="122" spans="2:4" ht="7.9" customHeight="1" x14ac:dyDescent="0.2">
      <c r="B122" s="64"/>
    </row>
    <row r="123" spans="2:4" ht="15" x14ac:dyDescent="0.2">
      <c r="B123" s="63" t="s">
        <v>359</v>
      </c>
    </row>
    <row r="124" spans="2:4" x14ac:dyDescent="0.2">
      <c r="B124" s="64" t="s">
        <v>361</v>
      </c>
    </row>
    <row r="125" spans="2:4" ht="7.9" customHeight="1" x14ac:dyDescent="0.2">
      <c r="B125" s="64"/>
    </row>
    <row r="126" spans="2:4" ht="18" x14ac:dyDescent="0.2">
      <c r="B126" s="138" t="s">
        <v>290</v>
      </c>
      <c r="D126" s="67"/>
    </row>
    <row r="127" spans="2:4" ht="42.75" x14ac:dyDescent="0.2">
      <c r="B127" s="64" t="s">
        <v>313</v>
      </c>
    </row>
    <row r="128" spans="2:4" ht="15" x14ac:dyDescent="0.2">
      <c r="B128" s="126" t="s">
        <v>321</v>
      </c>
      <c r="D128" s="68"/>
    </row>
    <row r="129" spans="2:4" ht="7.9" customHeight="1" x14ac:dyDescent="0.2">
      <c r="B129" s="126"/>
      <c r="D129" s="68"/>
    </row>
    <row r="130" spans="2:4" ht="18" x14ac:dyDescent="0.2">
      <c r="B130" s="138" t="s">
        <v>291</v>
      </c>
      <c r="D130" s="68"/>
    </row>
    <row r="131" spans="2:4" ht="15" x14ac:dyDescent="0.2">
      <c r="B131" s="64" t="s">
        <v>322</v>
      </c>
      <c r="D131" s="69"/>
    </row>
    <row r="132" spans="2:4" ht="15" x14ac:dyDescent="0.2">
      <c r="B132" s="61"/>
      <c r="D132" s="69"/>
    </row>
  </sheetData>
  <sheetProtection algorithmName="SHA-512" hashValue="kjPGqiuZGHWXek8R+o6vUQoow8JBkiK/pCHcJDpzuMDA6yEqx+ZoZge1v+Zc2KVWw0ljs3PFP+YjcW7G/gPzlA==" saltValue="0xe+bqxJXIxv06jgg5sB8A==" spinCount="100000" sheet="1" objects="1" scenarios="1"/>
  <hyperlinks>
    <hyperlink ref="B56" r:id="rId1" display="https://www.siliconvalleypower.com/residents/" xr:uid="{D23A68DC-0240-4E81-BF93-4E4EDFA7E8A3}"/>
    <hyperlink ref="B60" r:id="rId2" display="https://www.santaclaraca.gov/our-city/departments-a-f/community-development/permit-center" xr:uid="{24BDD087-4731-42EC-B6FD-47F5D47FC75D}"/>
    <hyperlink ref="B69" r:id="rId3" display="https://www.siliconvalleypower.com/residents/" xr:uid="{D8BA780C-D8E3-415C-8A9C-EF1B00221EE0}"/>
    <hyperlink ref="B76" r:id="rId4" display="https://www.siliconvalleypower.com/residents/rates-and-fees" xr:uid="{411363F7-64DD-4C27-A7E2-C0BCA5BFCCD8}"/>
    <hyperlink ref="B77" r:id="rId5" display="pge.com/tariffs/Residential.pdf" xr:uid="{7573AB82-E947-49C1-BD69-D6D33DE02B05}"/>
    <hyperlink ref="B128" r:id="rId6" display="caetrm.com/dashboard/" xr:uid="{DF45DE25-D4B7-4B6F-9C44-81096B165C52}"/>
    <hyperlink ref="B112" r:id="rId7" display="https://www.epa.gov/energy/greenhouse-gas-equivalencies-calculator" xr:uid="{0B54EF06-1121-4420-AAC5-D1FA8C9DFFEA}"/>
  </hyperlinks>
  <pageMargins left="0.7" right="0.7" top="0.75" bottom="0.75" header="0.3" footer="0.3"/>
  <pageSetup orientation="portrait"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BFC48-F2E3-4172-90C3-9975174D8CDC}">
  <sheetPr codeName="Sheet2">
    <pageSetUpPr autoPageBreaks="0"/>
  </sheetPr>
  <dimension ref="A1:J58"/>
  <sheetViews>
    <sheetView showGridLines="0" tabSelected="1" zoomScaleNormal="100" workbookViewId="0">
      <selection activeCell="D8" sqref="D8"/>
    </sheetView>
  </sheetViews>
  <sheetFormatPr defaultColWidth="9.140625" defaultRowHeight="12.75" x14ac:dyDescent="0.2"/>
  <cols>
    <col min="1" max="1" width="3.7109375" style="103" customWidth="1"/>
    <col min="2" max="2" width="9.5703125" style="103" customWidth="1"/>
    <col min="3" max="3" width="37.85546875" style="103" customWidth="1"/>
    <col min="4" max="7" width="45.7109375" style="103" customWidth="1"/>
    <col min="8" max="8" width="20.28515625" style="103" customWidth="1"/>
    <col min="9" max="16384" width="9.140625" style="103"/>
  </cols>
  <sheetData>
    <row r="1" spans="1:10" x14ac:dyDescent="0.2">
      <c r="A1" s="79"/>
      <c r="B1" s="79"/>
      <c r="C1" s="79"/>
      <c r="D1" s="79"/>
      <c r="E1" s="79"/>
      <c r="F1" s="79"/>
      <c r="G1" s="79"/>
      <c r="H1" s="79"/>
      <c r="I1" s="109"/>
    </row>
    <row r="2" spans="1:10" ht="37.15" customHeight="1" x14ac:dyDescent="0.2">
      <c r="A2" s="79"/>
      <c r="B2" s="79"/>
      <c r="C2" s="79"/>
      <c r="D2" s="141" t="s">
        <v>166</v>
      </c>
      <c r="E2" s="141"/>
      <c r="F2" s="82"/>
      <c r="G2" s="86"/>
      <c r="H2" s="79"/>
      <c r="I2" s="109"/>
    </row>
    <row r="3" spans="1:10" x14ac:dyDescent="0.2">
      <c r="A3" s="79"/>
      <c r="B3" s="79"/>
      <c r="C3" s="79"/>
      <c r="D3" s="79"/>
      <c r="E3" s="79"/>
      <c r="F3" s="79"/>
      <c r="G3" s="79"/>
      <c r="H3" s="110"/>
    </row>
    <row r="4" spans="1:10" ht="39" customHeight="1" x14ac:dyDescent="0.2">
      <c r="A4" s="79"/>
      <c r="B4" s="79"/>
      <c r="C4" s="142" t="s">
        <v>379</v>
      </c>
      <c r="D4" s="142"/>
      <c r="E4" s="142"/>
      <c r="F4" s="142"/>
      <c r="G4" s="86"/>
      <c r="H4" s="112"/>
      <c r="I4" s="104"/>
      <c r="J4" s="104"/>
    </row>
    <row r="5" spans="1:10" ht="39.6" customHeight="1" x14ac:dyDescent="0.2">
      <c r="A5" s="79"/>
      <c r="B5" s="79"/>
      <c r="C5" s="142" t="s">
        <v>377</v>
      </c>
      <c r="D5" s="142"/>
      <c r="E5" s="142"/>
      <c r="F5" s="142"/>
      <c r="G5" s="86"/>
      <c r="H5" s="112"/>
      <c r="I5" s="104"/>
      <c r="J5" s="104"/>
    </row>
    <row r="6" spans="1:10" x14ac:dyDescent="0.2">
      <c r="A6" s="79"/>
      <c r="B6" s="79"/>
      <c r="C6" s="85"/>
      <c r="D6" s="85"/>
      <c r="E6" s="85"/>
      <c r="F6" s="85"/>
      <c r="G6" s="85"/>
      <c r="H6" s="113"/>
      <c r="I6" s="104"/>
      <c r="J6" s="104"/>
    </row>
    <row r="7" spans="1:10" ht="15.75" x14ac:dyDescent="0.25">
      <c r="A7" s="79"/>
      <c r="B7" s="114" t="s">
        <v>292</v>
      </c>
      <c r="C7" s="115" t="s">
        <v>296</v>
      </c>
      <c r="D7" s="85" t="s">
        <v>380</v>
      </c>
      <c r="E7" s="85" t="s">
        <v>380</v>
      </c>
      <c r="F7" s="85" t="s">
        <v>381</v>
      </c>
      <c r="G7" s="85"/>
      <c r="H7" s="113"/>
      <c r="I7" s="104"/>
      <c r="J7" s="104"/>
    </row>
    <row r="8" spans="1:10" x14ac:dyDescent="0.2">
      <c r="A8" s="79"/>
      <c r="B8" s="79"/>
      <c r="C8" s="83" t="s">
        <v>0</v>
      </c>
      <c r="D8" s="76"/>
      <c r="E8" s="83" t="s">
        <v>328</v>
      </c>
      <c r="F8" s="87"/>
      <c r="G8" s="79"/>
      <c r="H8" s="110"/>
    </row>
    <row r="9" spans="1:10" x14ac:dyDescent="0.2">
      <c r="A9" s="79"/>
      <c r="B9" s="79"/>
      <c r="C9" s="83" t="s">
        <v>1</v>
      </c>
      <c r="D9" s="76"/>
      <c r="E9" s="83" t="s">
        <v>306</v>
      </c>
      <c r="F9" s="87"/>
      <c r="G9" s="79"/>
      <c r="H9" s="110"/>
    </row>
    <row r="10" spans="1:10" x14ac:dyDescent="0.2">
      <c r="A10" s="79"/>
      <c r="B10" s="79"/>
      <c r="C10" s="78" t="s">
        <v>367</v>
      </c>
      <c r="D10" s="77"/>
      <c r="E10" s="83" t="s">
        <v>170</v>
      </c>
      <c r="F10" s="88"/>
      <c r="G10" s="79"/>
      <c r="H10" s="110"/>
    </row>
    <row r="11" spans="1:10" x14ac:dyDescent="0.2">
      <c r="A11" s="79"/>
      <c r="B11" s="79"/>
      <c r="C11" s="79"/>
      <c r="D11" s="79"/>
      <c r="E11" s="79"/>
      <c r="F11" s="79"/>
      <c r="G11" s="79"/>
      <c r="H11" s="110"/>
    </row>
    <row r="12" spans="1:10" ht="13.5" thickBot="1" x14ac:dyDescent="0.25">
      <c r="A12" s="79"/>
      <c r="B12" s="118"/>
      <c r="C12" s="118"/>
      <c r="D12" s="118"/>
      <c r="E12" s="118"/>
      <c r="F12" s="118"/>
      <c r="G12" s="118"/>
      <c r="H12" s="110"/>
    </row>
    <row r="13" spans="1:10" ht="16.5" thickTop="1" x14ac:dyDescent="0.25">
      <c r="A13" s="79"/>
      <c r="B13" s="114" t="s">
        <v>293</v>
      </c>
      <c r="C13" s="115" t="s">
        <v>305</v>
      </c>
      <c r="D13" s="79"/>
      <c r="E13" s="79"/>
      <c r="F13" s="79"/>
      <c r="G13" s="79"/>
      <c r="H13" s="110"/>
    </row>
    <row r="14" spans="1:10" x14ac:dyDescent="0.2">
      <c r="A14" s="79"/>
      <c r="B14" s="79"/>
      <c r="C14" s="78" t="s">
        <v>380</v>
      </c>
      <c r="D14" s="84" t="s">
        <v>315</v>
      </c>
      <c r="E14" s="84" t="s">
        <v>3</v>
      </c>
      <c r="F14" s="84" t="s">
        <v>110</v>
      </c>
      <c r="G14" s="84" t="s">
        <v>4</v>
      </c>
      <c r="H14" s="110"/>
    </row>
    <row r="15" spans="1:10" x14ac:dyDescent="0.2">
      <c r="A15" s="79"/>
      <c r="B15" s="79"/>
      <c r="C15" s="78" t="s">
        <v>10</v>
      </c>
      <c r="D15" s="89"/>
      <c r="E15" s="89"/>
      <c r="F15" s="89"/>
      <c r="G15" s="89"/>
      <c r="H15" s="110"/>
    </row>
    <row r="16" spans="1:10" x14ac:dyDescent="0.2">
      <c r="A16" s="79"/>
      <c r="B16" s="79"/>
      <c r="C16" s="78" t="s">
        <v>304</v>
      </c>
      <c r="D16" s="90"/>
      <c r="E16" s="90"/>
      <c r="F16" s="90"/>
      <c r="G16" s="90"/>
      <c r="H16" s="110"/>
    </row>
    <row r="17" spans="1:8" x14ac:dyDescent="0.2">
      <c r="A17" s="79"/>
      <c r="B17" s="79"/>
      <c r="C17" s="78" t="s">
        <v>323</v>
      </c>
      <c r="D17" s="90"/>
      <c r="E17" s="90"/>
      <c r="F17" s="90"/>
      <c r="G17" s="90"/>
      <c r="H17" s="110"/>
    </row>
    <row r="18" spans="1:8" ht="12.75" customHeight="1" x14ac:dyDescent="0.2">
      <c r="A18" s="79"/>
      <c r="B18" s="79"/>
      <c r="C18" s="78" t="s">
        <v>364</v>
      </c>
      <c r="D18" s="91"/>
      <c r="E18" s="91"/>
      <c r="F18" s="91"/>
      <c r="G18" s="91"/>
      <c r="H18" s="110"/>
    </row>
    <row r="19" spans="1:8" x14ac:dyDescent="0.2">
      <c r="A19" s="79"/>
      <c r="B19" s="79"/>
      <c r="C19" s="78" t="s">
        <v>363</v>
      </c>
      <c r="D19" s="91"/>
      <c r="E19" s="91"/>
      <c r="F19" s="91"/>
      <c r="G19" s="91"/>
      <c r="H19" s="110"/>
    </row>
    <row r="20" spans="1:8" x14ac:dyDescent="0.2">
      <c r="A20" s="79"/>
      <c r="B20" s="79"/>
      <c r="C20" s="78" t="s">
        <v>324</v>
      </c>
      <c r="D20" s="91"/>
      <c r="E20" s="91"/>
      <c r="F20" s="91"/>
      <c r="G20" s="91"/>
      <c r="H20" s="110"/>
    </row>
    <row r="21" spans="1:8" x14ac:dyDescent="0.2">
      <c r="A21" s="79"/>
      <c r="B21" s="79"/>
      <c r="C21" s="78" t="s">
        <v>227</v>
      </c>
      <c r="D21" s="91"/>
      <c r="E21" s="91"/>
      <c r="F21" s="91"/>
      <c r="G21" s="91"/>
      <c r="H21" s="110"/>
    </row>
    <row r="22" spans="1:8" x14ac:dyDescent="0.2">
      <c r="A22" s="79"/>
      <c r="B22" s="79"/>
      <c r="C22" s="78" t="s">
        <v>302</v>
      </c>
      <c r="D22" s="92" t="str">
        <f>IFERROR(matrix!F6,"")</f>
        <v/>
      </c>
      <c r="E22" s="92" t="str">
        <f>IFERROR(matrix!F5,"")</f>
        <v/>
      </c>
      <c r="F22" s="92" t="str">
        <f>IFERROR(matrix!F3,"")</f>
        <v/>
      </c>
      <c r="G22" s="92" t="str">
        <f>IFERROR(matrix!F4,"")</f>
        <v/>
      </c>
      <c r="H22" s="110"/>
    </row>
    <row r="23" spans="1:8" x14ac:dyDescent="0.2">
      <c r="A23" s="79"/>
      <c r="B23" s="79"/>
      <c r="C23" s="78" t="s">
        <v>347</v>
      </c>
      <c r="D23" s="93" t="str">
        <f>matrix!D6</f>
        <v/>
      </c>
      <c r="E23" s="93" t="str">
        <f>matrix!D5</f>
        <v/>
      </c>
      <c r="F23" s="93" t="str">
        <f>matrix!D3</f>
        <v/>
      </c>
      <c r="G23" s="93" t="str">
        <f>matrix!D4</f>
        <v/>
      </c>
      <c r="H23" s="110"/>
    </row>
    <row r="24" spans="1:8" x14ac:dyDescent="0.2">
      <c r="A24" s="79"/>
      <c r="B24" s="79"/>
      <c r="C24" s="78" t="s">
        <v>349</v>
      </c>
      <c r="D24" s="93" t="str">
        <f>matrix!C6</f>
        <v/>
      </c>
      <c r="E24" s="93" t="str">
        <f>matrix!C5</f>
        <v/>
      </c>
      <c r="F24" s="93" t="str">
        <f>matrix!C3</f>
        <v/>
      </c>
      <c r="G24" s="93" t="str">
        <f>matrix!C4</f>
        <v/>
      </c>
      <c r="H24" s="110"/>
    </row>
    <row r="25" spans="1:8" x14ac:dyDescent="0.2">
      <c r="A25" s="79"/>
      <c r="B25" s="79"/>
      <c r="C25" s="78" t="s">
        <v>303</v>
      </c>
      <c r="D25" s="94" t="str">
        <f>matrix!E6</f>
        <v/>
      </c>
      <c r="E25" s="94" t="str">
        <f>matrix!E5</f>
        <v/>
      </c>
      <c r="F25" s="94" t="str">
        <f>matrix!E3</f>
        <v/>
      </c>
      <c r="G25" s="94" t="str">
        <f>matrix!E4</f>
        <v/>
      </c>
      <c r="H25" s="110"/>
    </row>
    <row r="26" spans="1:8" ht="18.75" customHeight="1" x14ac:dyDescent="0.2">
      <c r="A26" s="79"/>
      <c r="B26" s="133" t="s">
        <v>369</v>
      </c>
      <c r="C26" s="79"/>
      <c r="D26" s="79"/>
      <c r="E26" s="79"/>
      <c r="F26" s="79"/>
      <c r="G26" s="79"/>
      <c r="H26" s="110"/>
    </row>
    <row r="27" spans="1:8" ht="8.25" customHeight="1" thickBot="1" x14ac:dyDescent="0.25">
      <c r="A27" s="79"/>
      <c r="B27" s="132"/>
      <c r="C27" s="132"/>
      <c r="D27" s="119"/>
      <c r="E27" s="119"/>
      <c r="F27" s="119"/>
      <c r="G27" s="119"/>
      <c r="H27" s="110"/>
    </row>
    <row r="28" spans="1:8" ht="13.5" thickTop="1" x14ac:dyDescent="0.2">
      <c r="A28" s="79"/>
      <c r="B28" s="79"/>
      <c r="C28" s="79"/>
      <c r="D28" s="117"/>
      <c r="E28" s="79"/>
      <c r="F28" s="79"/>
      <c r="G28" s="79"/>
      <c r="H28" s="110"/>
    </row>
    <row r="29" spans="1:8" ht="15.75" x14ac:dyDescent="0.25">
      <c r="A29" s="79"/>
      <c r="B29" s="114" t="s">
        <v>294</v>
      </c>
      <c r="C29" s="115" t="s">
        <v>298</v>
      </c>
      <c r="D29" s="117"/>
      <c r="E29" s="79"/>
      <c r="F29" s="79"/>
      <c r="G29" s="79"/>
      <c r="H29" s="110"/>
    </row>
    <row r="30" spans="1:8" x14ac:dyDescent="0.2">
      <c r="A30" s="79"/>
      <c r="B30" s="83"/>
      <c r="C30" s="79" t="s">
        <v>380</v>
      </c>
      <c r="D30" s="79" t="s">
        <v>381</v>
      </c>
      <c r="E30" s="79" t="s">
        <v>380</v>
      </c>
      <c r="F30" s="79" t="s">
        <v>381</v>
      </c>
      <c r="G30" s="79"/>
      <c r="H30" s="110"/>
    </row>
    <row r="31" spans="1:8" x14ac:dyDescent="0.2">
      <c r="A31" s="79"/>
      <c r="B31" s="79"/>
      <c r="C31" s="78" t="s">
        <v>69</v>
      </c>
      <c r="D31" s="95"/>
      <c r="E31" s="78" t="s">
        <v>112</v>
      </c>
      <c r="F31" s="95"/>
      <c r="G31" s="79"/>
      <c r="H31" s="110"/>
    </row>
    <row r="32" spans="1:8" x14ac:dyDescent="0.2">
      <c r="A32" s="79"/>
      <c r="B32" s="79"/>
      <c r="C32" s="78" t="s">
        <v>111</v>
      </c>
      <c r="D32" s="87"/>
      <c r="E32" s="78" t="s">
        <v>228</v>
      </c>
      <c r="F32" s="91"/>
      <c r="G32" s="79"/>
      <c r="H32" s="110"/>
    </row>
    <row r="33" spans="1:9" ht="13.5" thickBot="1" x14ac:dyDescent="0.25">
      <c r="A33" s="79"/>
      <c r="B33" s="118"/>
      <c r="C33" s="79"/>
      <c r="D33" s="135"/>
      <c r="E33" s="79"/>
      <c r="F33" s="79"/>
      <c r="G33" s="118"/>
      <c r="H33" s="110"/>
    </row>
    <row r="34" spans="1:9" ht="16.5" thickTop="1" x14ac:dyDescent="0.25">
      <c r="A34" s="79"/>
      <c r="B34" s="114" t="s">
        <v>295</v>
      </c>
      <c r="C34" s="115" t="s">
        <v>224</v>
      </c>
      <c r="D34" s="79" t="s">
        <v>380</v>
      </c>
      <c r="E34" s="79" t="s">
        <v>380</v>
      </c>
      <c r="F34" s="120" t="s">
        <v>381</v>
      </c>
      <c r="G34" s="79"/>
      <c r="H34" s="110"/>
    </row>
    <row r="35" spans="1:9" ht="13.15" customHeight="1" x14ac:dyDescent="0.2">
      <c r="A35" s="79"/>
      <c r="B35" s="79"/>
      <c r="C35" s="78" t="s">
        <v>12</v>
      </c>
      <c r="D35" s="96">
        <f>SUM(IF(D18="No",D20,D18),IF(E18="No",E20,E19),IF(F18="No",F20,F19),IF(G18="No",G20,G19),F31,D31)</f>
        <v>0</v>
      </c>
      <c r="E35" s="78" t="s">
        <v>327</v>
      </c>
      <c r="F35" s="96">
        <f>lookup!I31</f>
        <v>0</v>
      </c>
      <c r="G35" s="143" t="str">
        <f>IF(D35=0,"",IF(AND(F35&lt;=lookup!I18,F8="Yes",F9="Yes"),"Estimated monthly bill will likely be close to zero or negative from electrification savings combined with solar production. Actual excess energy payment based on the NM Rate for excess energy.",IF(AND(F9="No",F35=lookup!I18),"Estimated monthly bill will likely be close to zero from electrification savings combined with solar production. Note there will still be a monthly meter charge.","")))</f>
        <v/>
      </c>
      <c r="H35" s="144"/>
    </row>
    <row r="36" spans="1:9" x14ac:dyDescent="0.2">
      <c r="A36" s="79"/>
      <c r="B36" s="79"/>
      <c r="C36" s="78" t="s">
        <v>19</v>
      </c>
      <c r="D36" s="96">
        <f>SUM(D21:G21,F32)</f>
        <v>0</v>
      </c>
      <c r="E36" s="78" t="s">
        <v>16</v>
      </c>
      <c r="F36" s="97">
        <f>-lookup!I28</f>
        <v>0</v>
      </c>
      <c r="G36" s="143"/>
      <c r="H36" s="144"/>
    </row>
    <row r="37" spans="1:9" x14ac:dyDescent="0.2">
      <c r="A37" s="79"/>
      <c r="B37" s="79"/>
      <c r="C37" s="78" t="s">
        <v>20</v>
      </c>
      <c r="D37" s="96">
        <f>D35-D36</f>
        <v>0</v>
      </c>
      <c r="E37" s="78" t="s">
        <v>11</v>
      </c>
      <c r="F37" s="97">
        <f>-lookup!I27</f>
        <v>0</v>
      </c>
      <c r="G37" s="143"/>
      <c r="H37" s="144"/>
    </row>
    <row r="38" spans="1:9" x14ac:dyDescent="0.2">
      <c r="A38" s="79"/>
      <c r="B38" s="79"/>
      <c r="C38" s="79"/>
      <c r="D38" s="79"/>
      <c r="E38" s="79"/>
      <c r="F38" s="79"/>
      <c r="G38" s="80"/>
      <c r="H38" s="110"/>
    </row>
    <row r="39" spans="1:9" ht="12.75" customHeight="1" x14ac:dyDescent="0.2">
      <c r="A39" s="79"/>
      <c r="B39" s="79"/>
      <c r="C39" s="78" t="s">
        <v>226</v>
      </c>
      <c r="D39" s="100">
        <f>SUM(D25:G25)</f>
        <v>0</v>
      </c>
      <c r="E39" s="78" t="s">
        <v>113</v>
      </c>
      <c r="F39" s="98" t="str">
        <f>IFERROR(D37/F37,"")</f>
        <v/>
      </c>
      <c r="G39" s="143" t="s">
        <v>366</v>
      </c>
      <c r="H39" s="144"/>
      <c r="I39" s="105"/>
    </row>
    <row r="40" spans="1:9" x14ac:dyDescent="0.2">
      <c r="A40" s="79"/>
      <c r="B40" s="79"/>
      <c r="C40" s="81" t="s">
        <v>164</v>
      </c>
      <c r="D40" s="79" t="s">
        <v>380</v>
      </c>
      <c r="E40" s="78" t="s">
        <v>358</v>
      </c>
      <c r="F40" s="99" t="str">
        <f>IFERROR((F37*5)/D37,"")</f>
        <v/>
      </c>
      <c r="G40" s="143"/>
      <c r="H40" s="144"/>
    </row>
    <row r="41" spans="1:9" x14ac:dyDescent="0.2">
      <c r="A41" s="79"/>
      <c r="B41" s="79"/>
      <c r="C41" s="134" t="str">
        <f>"CO2 emissions from "&amp;ROUND(D39*0.595/11.7,1)&amp;" gallons of gasoline consumed."</f>
        <v>CO2 emissions from 0 gallons of gasoline consumed.</v>
      </c>
      <c r="D41" s="134"/>
      <c r="E41" s="78" t="s">
        <v>359</v>
      </c>
      <c r="F41" s="99" t="str">
        <f>IFERROR((F37*10)/D37,"")</f>
        <v/>
      </c>
      <c r="G41" s="143"/>
      <c r="H41" s="144"/>
    </row>
    <row r="42" spans="1:9" x14ac:dyDescent="0.2">
      <c r="A42" s="79"/>
      <c r="B42" s="79"/>
      <c r="C42" s="134" t="str">
        <f>"GHG emissions from "&amp;ROUND(D39*13.1/11.7,0)&amp;" miles driven by an average gasoline-powered passenger vehicle."</f>
        <v>GHG emissions from 0 miles driven by an average gasoline-powered passenger vehicle.</v>
      </c>
      <c r="D42" s="134"/>
      <c r="E42" s="79"/>
      <c r="F42" s="79"/>
      <c r="G42" s="143"/>
      <c r="H42" s="144"/>
    </row>
    <row r="43" spans="1:9" x14ac:dyDescent="0.2">
      <c r="A43" s="79"/>
      <c r="B43" s="79"/>
      <c r="C43" s="136" t="str">
        <f>"Carbon sequestered by "&amp;ROUND(D39*0.0062615567992/11.7,1)&amp;" acres of U.S. forests in one year."</f>
        <v>Carbon sequestered by 0 acres of U.S. forests in one year.</v>
      </c>
      <c r="D43" s="136"/>
      <c r="E43" s="79"/>
      <c r="F43" s="79"/>
      <c r="G43" s="79"/>
      <c r="H43" s="110"/>
    </row>
    <row r="44" spans="1:9" x14ac:dyDescent="0.2">
      <c r="A44" s="79"/>
      <c r="B44" s="79"/>
      <c r="C44" s="79"/>
      <c r="D44" s="79"/>
      <c r="E44" s="78"/>
      <c r="F44" s="79"/>
      <c r="G44" s="101" t="str">
        <f>lookup!K15</f>
        <v>Last update March 2024</v>
      </c>
      <c r="H44" s="110"/>
    </row>
    <row r="45" spans="1:9" x14ac:dyDescent="0.2">
      <c r="A45" s="79"/>
      <c r="B45" s="79"/>
      <c r="C45" s="82" t="s">
        <v>169</v>
      </c>
      <c r="D45" s="79"/>
      <c r="E45" s="79"/>
      <c r="F45" s="79"/>
      <c r="G45" s="79"/>
      <c r="H45" s="110"/>
    </row>
    <row r="46" spans="1:9" ht="41.25" customHeight="1" x14ac:dyDescent="0.2">
      <c r="A46" s="79"/>
      <c r="B46" s="79"/>
      <c r="C46" s="140" t="s">
        <v>362</v>
      </c>
      <c r="D46" s="140"/>
      <c r="E46" s="140"/>
      <c r="F46" s="140"/>
      <c r="G46" s="140"/>
      <c r="H46" s="110"/>
    </row>
    <row r="47" spans="1:9" x14ac:dyDescent="0.2">
      <c r="A47" s="79"/>
      <c r="B47" s="79"/>
      <c r="C47" s="79"/>
      <c r="D47" s="79"/>
      <c r="E47" s="79"/>
      <c r="F47" s="79"/>
      <c r="G47" s="79"/>
      <c r="H47" s="110"/>
    </row>
    <row r="48" spans="1:9" x14ac:dyDescent="0.2">
      <c r="A48" s="79"/>
      <c r="B48" s="79"/>
      <c r="C48" s="82" t="s">
        <v>165</v>
      </c>
      <c r="D48" s="79"/>
      <c r="E48" s="79"/>
      <c r="F48" s="79"/>
      <c r="G48" s="79"/>
      <c r="H48" s="110"/>
    </row>
    <row r="49" spans="1:8" x14ac:dyDescent="0.2">
      <c r="A49" s="79"/>
      <c r="B49" s="79"/>
      <c r="C49" s="139" t="s">
        <v>229</v>
      </c>
      <c r="D49" s="139"/>
      <c r="E49" s="139"/>
      <c r="F49" s="139"/>
      <c r="G49" s="139"/>
      <c r="H49" s="110"/>
    </row>
    <row r="50" spans="1:8" ht="26.45" customHeight="1" x14ac:dyDescent="0.2">
      <c r="A50" s="79"/>
      <c r="B50" s="79"/>
      <c r="C50" s="140" t="s">
        <v>230</v>
      </c>
      <c r="D50" s="140"/>
      <c r="E50" s="140"/>
      <c r="F50" s="140"/>
      <c r="G50" s="140"/>
      <c r="H50" s="110"/>
    </row>
    <row r="51" spans="1:8" x14ac:dyDescent="0.2">
      <c r="A51" s="79"/>
      <c r="B51" s="79"/>
      <c r="C51" s="139" t="s">
        <v>231</v>
      </c>
      <c r="D51" s="139"/>
      <c r="E51" s="139"/>
      <c r="F51" s="139"/>
      <c r="G51" s="139"/>
      <c r="H51" s="110"/>
    </row>
    <row r="52" spans="1:8" x14ac:dyDescent="0.2">
      <c r="A52" s="79"/>
      <c r="B52" s="79"/>
      <c r="C52" s="139" t="s">
        <v>232</v>
      </c>
      <c r="D52" s="139"/>
      <c r="E52" s="139"/>
      <c r="F52" s="139"/>
      <c r="G52" s="139"/>
      <c r="H52" s="110"/>
    </row>
    <row r="53" spans="1:8" ht="13.5" thickBot="1" x14ac:dyDescent="0.25">
      <c r="A53" s="107"/>
      <c r="B53" s="107"/>
      <c r="C53" s="108"/>
      <c r="D53" s="108"/>
      <c r="E53" s="108"/>
      <c r="F53" s="108"/>
      <c r="G53" s="108"/>
      <c r="H53" s="111"/>
    </row>
    <row r="54" spans="1:8" ht="13.5" thickTop="1" x14ac:dyDescent="0.2"/>
    <row r="58" spans="1:8" x14ac:dyDescent="0.2">
      <c r="G58" s="106"/>
    </row>
  </sheetData>
  <sheetProtection algorithmName="SHA-512" hashValue="SWcLGS7H4/mVSTtx1XLYS3foGNLuRLwQAUrTCR3Z9h67RD6SkvpXYZ80b4qlVo6CHoIMOQ5ib1Fyfczu9SOigQ==" saltValue="IC/ceo7HgaSoc9zs0Gh/TA==" spinCount="100000" sheet="1" objects="1" scenarios="1"/>
  <mergeCells count="10">
    <mergeCell ref="C51:G51"/>
    <mergeCell ref="C52:G52"/>
    <mergeCell ref="C50:G50"/>
    <mergeCell ref="C49:G49"/>
    <mergeCell ref="D2:E2"/>
    <mergeCell ref="C4:F4"/>
    <mergeCell ref="C5:F5"/>
    <mergeCell ref="C46:G46"/>
    <mergeCell ref="G35:H37"/>
    <mergeCell ref="G39:H42"/>
  </mergeCells>
  <phoneticPr fontId="3" type="noConversion"/>
  <conditionalFormatting sqref="D16:D25">
    <cfRule type="expression" dxfId="25" priority="26">
      <formula>$D$15="N/A"</formula>
    </cfRule>
  </conditionalFormatting>
  <conditionalFormatting sqref="D17:D25">
    <cfRule type="expression" dxfId="24" priority="12">
      <formula>$D$15="Electric"</formula>
    </cfRule>
  </conditionalFormatting>
  <conditionalFormatting sqref="D18:D25">
    <cfRule type="expression" dxfId="23" priority="23">
      <formula>OR($D$17="Not Electrifying",$D$17="Already Electrified")</formula>
    </cfRule>
  </conditionalFormatting>
  <conditionalFormatting sqref="D19">
    <cfRule type="expression" dxfId="22" priority="8">
      <formula>$D$18="No"</formula>
    </cfRule>
  </conditionalFormatting>
  <conditionalFormatting sqref="D20">
    <cfRule type="expression" dxfId="21" priority="11">
      <formula>$D$18="Yes"</formula>
    </cfRule>
  </conditionalFormatting>
  <conditionalFormatting sqref="D15:G15">
    <cfRule type="containsText" dxfId="20" priority="33" operator="containsText" text="Gas">
      <formula>NOT(ISERROR(SEARCH("Gas",D15)))</formula>
    </cfRule>
    <cfRule type="containsText" dxfId="19" priority="38" operator="containsText" text="Electric">
      <formula>NOT(ISERROR(SEARCH("Electric",D15)))</formula>
    </cfRule>
  </conditionalFormatting>
  <conditionalFormatting sqref="D17:G17">
    <cfRule type="containsText" dxfId="18" priority="43" operator="containsText" text="Already electrified">
      <formula>NOT(ISERROR(SEARCH("Already electrified",D17)))</formula>
    </cfRule>
  </conditionalFormatting>
  <conditionalFormatting sqref="D22:G25">
    <cfRule type="containsBlanks" dxfId="17" priority="50">
      <formula>LEN(TRIM(D22))=0</formula>
    </cfRule>
  </conditionalFormatting>
  <conditionalFormatting sqref="E16:E25">
    <cfRule type="expression" dxfId="16" priority="17">
      <formula>$E$15="N/A"</formula>
    </cfRule>
  </conditionalFormatting>
  <conditionalFormatting sqref="E17:E25">
    <cfRule type="expression" dxfId="15" priority="18">
      <formula>$E$15="Electric"</formula>
    </cfRule>
  </conditionalFormatting>
  <conditionalFormatting sqref="E18:E25">
    <cfRule type="expression" dxfId="14" priority="25">
      <formula>OR($E$17="Not Electrifying",$E$17="Already Electrified")</formula>
    </cfRule>
  </conditionalFormatting>
  <conditionalFormatting sqref="E19">
    <cfRule type="expression" dxfId="13" priority="6">
      <formula>$E$18="No"</formula>
    </cfRule>
  </conditionalFormatting>
  <conditionalFormatting sqref="E20">
    <cfRule type="expression" dxfId="12" priority="4">
      <formula>$E$18="Yes"</formula>
    </cfRule>
  </conditionalFormatting>
  <conditionalFormatting sqref="F9">
    <cfRule type="expression" dxfId="11" priority="10">
      <formula>$F$8="No"</formula>
    </cfRule>
  </conditionalFormatting>
  <conditionalFormatting sqref="F16:F25">
    <cfRule type="expression" dxfId="10" priority="15">
      <formula>$F$15="N/A"</formula>
    </cfRule>
  </conditionalFormatting>
  <conditionalFormatting sqref="F17:F25">
    <cfRule type="expression" dxfId="9" priority="16">
      <formula>$F$15="Electric"</formula>
    </cfRule>
  </conditionalFormatting>
  <conditionalFormatting sqref="F18:F25">
    <cfRule type="expression" dxfId="8" priority="24">
      <formula>OR($F$17="Not Electrifying",$F$17="Already Electrified")</formula>
    </cfRule>
  </conditionalFormatting>
  <conditionalFormatting sqref="F19">
    <cfRule type="expression" dxfId="7" priority="5">
      <formula>$F$18="No"</formula>
    </cfRule>
  </conditionalFormatting>
  <conditionalFormatting sqref="F20">
    <cfRule type="expression" dxfId="6" priority="2">
      <formula>$F$18="Yes"</formula>
    </cfRule>
  </conditionalFormatting>
  <conditionalFormatting sqref="F31:F32">
    <cfRule type="expression" dxfId="5" priority="9">
      <formula>$D$32="No"</formula>
    </cfRule>
  </conditionalFormatting>
  <conditionalFormatting sqref="G16:G25">
    <cfRule type="expression" dxfId="4" priority="13">
      <formula>$G$15="N/A"</formula>
    </cfRule>
  </conditionalFormatting>
  <conditionalFormatting sqref="G17:G25">
    <cfRule type="expression" dxfId="3" priority="14">
      <formula>$G$15="Electric"</formula>
    </cfRule>
  </conditionalFormatting>
  <conditionalFormatting sqref="G18:G25">
    <cfRule type="expression" dxfId="2" priority="32">
      <formula>OR($G$17="Not Electrifying",$G$17="Already Electrified")</formula>
    </cfRule>
  </conditionalFormatting>
  <conditionalFormatting sqref="G19">
    <cfRule type="expression" dxfId="1" priority="3">
      <formula>$G$18="No"</formula>
    </cfRule>
  </conditionalFormatting>
  <conditionalFormatting sqref="G20">
    <cfRule type="expression" dxfId="0" priority="1">
      <formula>$G$18="Yes"</formula>
    </cfRule>
  </conditionalFormatting>
  <dataValidations xWindow="1472" yWindow="767" count="8">
    <dataValidation allowBlank="1" showInputMessage="1" showErrorMessage="1" prompt="Enter your monthly average utility cost (gas and electric)" sqref="D10" xr:uid="{E22C8E5A-CC45-4C3D-8758-F550E5CFA131}"/>
    <dataValidation allowBlank="1" showInputMessage="1" showErrorMessage="1" prompt="Enter any applicable rebates or tax credits." sqref="F32 D21:G21" xr:uid="{0560F8B1-51DA-4A16-8ED9-680A1649C777}"/>
    <dataValidation allowBlank="1" showInputMessage="1" showErrorMessage="1" prompt="Electrification projects will most likely require a permit. Enter the cost of the permit here._x000a_Contact the City of Santa Clara Permit Center for more information. SantaClaraCA.gov/PermitCenter" sqref="D31" xr:uid="{FFA3F572-E360-47AB-B863-CD25776BD739}"/>
    <dataValidation allowBlank="1" showInputMessage="1" showErrorMessage="1" prompt="If a new electric panel is required, enter the estimated cost of upgrading the electric panel._x000a_Consider upgrading to a smart electric panel." sqref="F31" xr:uid="{A1A581CF-D4DD-47B5-B148-35A1B30E93EB}"/>
    <dataValidation type="list" allowBlank="1" showInputMessage="1" showErrorMessage="1" prompt="Select the option closest to your current appliance. _x000a_Helpful Tip: If your dryer has a vent in the back it is vented" sqref="G16" xr:uid="{AB93C4C8-0429-451B-8DD4-63B0E42C5456}">
      <formula1>Dryer</formula1>
    </dataValidation>
    <dataValidation allowBlank="1" showInputMessage="1" showErrorMessage="1" prompt="Enter the total square footage of the conditioned space in your home" sqref="F10" xr:uid="{D8CE26B4-D406-4CA2-9E7B-7FBD087D75DF}"/>
    <dataValidation allowBlank="1" showInputMessage="1" showErrorMessage="1" prompt="Enter the estimated full purchase and installation cost of the electric appliance." sqref="D20:G20" xr:uid="{1DFEA95B-5366-47B5-AB26-FCE6B77C0D8B}"/>
    <dataValidation allowBlank="1" showInputMessage="1" showErrorMessage="1" prompt="Enter the estimated incremental purchase and installation cost of installing an electric appliance over the comparable gas appliance." sqref="E19:G19 D19" xr:uid="{C0685A39-46B1-4D3E-8844-04D011FC805D}"/>
  </dataValidations>
  <hyperlinks>
    <hyperlink ref="C4:F4" r:id="rId1" display="Building electrification is the process of replacing appliances powered by natural gas, propane or gasoline with appliances powered by electricity. There are many benefits to electrifying your home including reducing greenhouse gas emissions and improving health, safety and comfort. Check out the Silicon Valley Power Electrification Guide at SiliconValleyPower.com/Electrification" xr:uid="{92F7897D-9A3D-498B-950F-EF7B7F8631F7}"/>
  </hyperlinks>
  <pageMargins left="0.7" right="0.7" top="0.75" bottom="0.75" header="0.3" footer="0.3"/>
  <pageSetup orientation="portrait" r:id="rId2"/>
  <drawing r:id="rId3"/>
  <tableParts count="8">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xWindow="1472" yWindow="767" count="27">
        <x14:dataValidation type="list" allowBlank="1" showInputMessage="1" showErrorMessage="1" prompt="Select “Yes” or “No” depending on whether you are replacing your appliance on failure." xr:uid="{8259BF0A-C7C9-4E6C-BD28-BE663ED57410}">
          <x14:formula1>
            <xm:f>lookup!$M$8:$M$9</xm:f>
          </x14:formula1>
          <xm:sqref>D18:G18</xm:sqref>
        </x14:dataValidation>
        <x14:dataValidation type="list" allowBlank="1" showInputMessage="1" showErrorMessage="1" prompt="Select the option closest to your current appliance. _x000a_Helpful tip: Look for a yellow and black EnergyGuide sticker on the side of your HVAC unit to determine the SEER rating." xr:uid="{9C4598A5-FD64-408B-9123-3295DE164FED}">
          <x14:formula1>
            <xm:f>IF($D$15="Electric",lookup!$E$30:$E$33,lookup!$C$30:$C$33)</xm:f>
          </x14:formula1>
          <xm:sqref>D16</xm:sqref>
        </x14:dataValidation>
        <x14:dataValidation type="list" allowBlank="1" showInputMessage="1" showErrorMessage="1" prompt="If your electric panel is less than 200 amps, you will likely need a panel upgrade. Panel upgrades will require a permit. Enter Yes or No whether you needs a new electric panel." xr:uid="{7372CC2A-0AF9-4DF3-81AE-74BC485856AB}">
          <x14:formula1>
            <xm:f>lookup!$M$8:$M$9</xm:f>
          </x14:formula1>
          <xm:sqref>D32</xm:sqref>
        </x14:dataValidation>
        <x14:dataValidation type="list" allowBlank="1" showInputMessage="1" showErrorMessage="1" prompt="Enter your home zip code" xr:uid="{B54479FF-A3B2-470F-BFFC-74EC4C19656B}">
          <x14:formula1>
            <xm:f>lookup!$I$8:$I$11</xm:f>
          </x14:formula1>
          <xm:sqref>D8</xm:sqref>
        </x14:dataValidation>
        <x14:dataValidation type="list" allowBlank="1" showInputMessage="1" showErrorMessage="1" prompt="Enter your home type" xr:uid="{8CA4A175-4465-4FC2-B180-E3339AE5724B}">
          <x14:formula1>
            <xm:f>lookup!$J$8:$J$10</xm:f>
          </x14:formula1>
          <xm:sqref>D9</xm:sqref>
        </x14:dataValidation>
        <x14:dataValidation type="list" allowBlank="1" showInputMessage="1" showErrorMessage="1" prompt="Is your clothes dryer gas, electric or not applicable (N/A)" xr:uid="{84F0EA97-924A-4AF5-9368-B8CB395F1265}">
          <x14:formula1>
            <xm:f>lookup!$K$8:$K$10</xm:f>
          </x14:formula1>
          <xm:sqref>G15</xm:sqref>
        </x14:dataValidation>
        <x14:dataValidation type="list" allowBlank="1" showInputMessage="1" showErrorMessage="1" prompt="Enter in the customer home vintage or last time the home was insulated" xr:uid="{5AC5F677-D195-4816-A78F-4F31E8611019}">
          <x14:formula1>
            <xm:f>lookup!$K$8:$K$9</xm:f>
          </x14:formula1>
          <xm:sqref>G15</xm:sqref>
        </x14:dataValidation>
        <x14:dataValidation type="list" allowBlank="1" showInputMessage="1" showErrorMessage="1" prompt="Select the option closest to your current appliance. _x000a_Helpful tip: Look for a sticker on the side of your water heater to determine the capacity (in gallons)." xr:uid="{0AD5A978-3D74-4651-B99B-8CB8180B2C17}">
          <x14:formula1>
            <xm:f>IF($E$15="Electric",lookup!$E$20:$E$22,lookup!$C$20:$C$25)</xm:f>
          </x14:formula1>
          <xm:sqref>E16</xm:sqref>
        </x14:dataValidation>
        <x14:dataValidation type="list" allowBlank="1" showInputMessage="1" showErrorMessage="1" prompt="Select the customer's current system type or the closest option" xr:uid="{A9E514CC-900B-492F-B6E8-66D31B0DF116}">
          <x14:formula1>
            <xm:f>IF($G$15="Electric",lookup!$E$11:$E$13,lookup!$C$11)</xm:f>
          </x14:formula1>
          <xm:sqref>G16</xm:sqref>
        </x14:dataValidation>
        <x14:dataValidation type="list" allowBlank="1" showInputMessage="1" showErrorMessage="1" prompt="Select “Yes” or “No” depending on whether you are on a qualified Net Energy Metering (NM Rate)" xr:uid="{FEA18528-8EF2-483C-8DED-FCFAE6D1BD7C}">
          <x14:formula1>
            <xm:f>lookup!$M$8:$M$9</xm:f>
          </x14:formula1>
          <xm:sqref>F9</xm:sqref>
        </x14:dataValidation>
        <x14:dataValidation type="list" allowBlank="1" showInputMessage="1" showErrorMessage="1" prompt="Do you have solar photovoltaic (PV) system installed on your home? Select “Yes” or “No”" xr:uid="{0F9C5B2E-4320-4C13-8CEB-0B6E09833C6E}">
          <x14:formula1>
            <xm:f>lookup!$M$8:$M$9</xm:f>
          </x14:formula1>
          <xm:sqref>F8</xm:sqref>
        </x14:dataValidation>
        <x14:dataValidation type="list" allowBlank="1" showInputMessage="1" showErrorMessage="1" prompt="Is your heating equipment gas, electric or not applicable (N/A)" xr:uid="{C23045F2-8447-46B6-B2C2-EEF7759D6DA0}">
          <x14:formula1>
            <xm:f>lookup!$K$8:$K$10</xm:f>
          </x14:formula1>
          <xm:sqref>D15</xm:sqref>
        </x14:dataValidation>
        <x14:dataValidation type="list" allowBlank="1" showInputMessage="1" showErrorMessage="1" prompt="Is your current water heater gas, electric or not applicable (N/A)" xr:uid="{B83CB225-A878-47B2-8CB6-E99A6450B2FE}">
          <x14:formula1>
            <xm:f>lookup!$K$8:$K$10</xm:f>
          </x14:formula1>
          <xm:sqref>E15</xm:sqref>
        </x14:dataValidation>
        <x14:dataValidation type="list" allowBlank="1" showInputMessage="1" showErrorMessage="1" prompt="Is your cooktop / range / oven gas, electric or not applicable (N/A)" xr:uid="{4FEA1670-4BC1-469A-8EB5-0DD977E8F715}">
          <x14:formula1>
            <xm:f>lookup!$K$8:$K$10</xm:f>
          </x14:formula1>
          <xm:sqref>F15</xm:sqref>
        </x14:dataValidation>
        <x14:dataValidation type="list" allowBlank="1" showInputMessage="1" showErrorMessage="1" prompt="Indicate whether your cooktop/range/oven is gas, electric or not applicable (N/A)" xr:uid="{A796542C-3BD3-40B8-BC04-91F017029A37}">
          <x14:formula1>
            <xm:f>lookup!$K$8:$K$9</xm:f>
          </x14:formula1>
          <xm:sqref>F15</xm:sqref>
        </x14:dataValidation>
        <x14:dataValidation type="list" allowBlank="1" showInputMessage="1" showErrorMessage="1" prompt="Indicate whether your water heater is gas, electric or not applicable (N/A)" xr:uid="{743E94B0-E417-4AEC-B6A3-FDC543382D3B}">
          <x14:formula1>
            <xm:f>lookup!$K$8:$K$9</xm:f>
          </x14:formula1>
          <xm:sqref>E15</xm:sqref>
        </x14:dataValidation>
        <x14:dataValidation type="list" allowBlank="1" showInputMessage="1" showErrorMessage="1" prompt="Select the customer's current system type or the closest option" xr:uid="{438570A5-608B-4282-A096-BF8ED2C6841D}">
          <x14:formula1>
            <xm:f>IF($E$15="Electric",lookup!$E$20:$E$22,lookup!$C$20:$C$27)</xm:f>
          </x14:formula1>
          <xm:sqref>E16</xm:sqref>
        </x14:dataValidation>
        <x14:dataValidation type="list" allowBlank="1" showInputMessage="1" showErrorMessage="1" prompt="Select the appliance you would like to install. If the appliance is already electric, the only option to select will be “Already Electric”._x000a_Helpful Tip: For electric resistance ranges, this includes both coil or ceramic/glass" xr:uid="{3D5217ED-ACA0-4831-8581-34B12FC152EA}">
          <x14:formula1>
            <xm:f>IF($M$3="Electric",lookup!$L$8,IF(matrix!$K$3="Natural Gas Cooktop",lookup!$E$3:$E$5,IF(matrix!$K$3="Natural Gas Range (Cooktop + Oven)",lookup!$F$3:$F$5,IF(matrix!$K$3="Natural Gas Wall Oven",lookup!$E$7:$E$8))))</xm:f>
          </x14:formula1>
          <xm:sqref>F17</xm:sqref>
        </x14:dataValidation>
        <x14:dataValidation type="list" allowBlank="1" showInputMessage="1" showErrorMessage="1" prompt="Enter in the customer home vintage or last time the home was insulated" xr:uid="{18B1585F-2913-4F3F-B8C9-2BED2D8A5372}">
          <x14:formula1>
            <xm:f>IF($D$17="Electric",lookup!$L$8,IF(matrix!$K$3="Natural Gas Cooktop",lookup!$E$3:$E$5,IF(matrix!$K$3="Natural Gas Range",lookup!$F$3:$F$5,IF(matrix!$K$3="Natural Gas Wall Oven",lookup!$E$7:$E$8))))</xm:f>
          </x14:formula1>
          <xm:sqref>F17</xm:sqref>
        </x14:dataValidation>
        <x14:dataValidation type="list" allowBlank="1" showInputMessage="1" showErrorMessage="1" prompt="Select the option closest to your current appliance. _x000a_Helpful Tip: For electric resistance ranges, this includes both coil or ceramic/glass" xr:uid="{B77FE134-3DB1-4AA0-8C56-1639FFBCD62E}">
          <x14:formula1>
            <xm:f>IF($F$15="Electric",lookup!$D$3:$D$7,lookup!$C$3:$C$5)</xm:f>
          </x14:formula1>
          <xm:sqref>F16</xm:sqref>
        </x14:dataValidation>
        <x14:dataValidation type="list" allowBlank="1" showInputMessage="1" showErrorMessage="1" prompt="Enter in the customer home vintage or last time the home was insulated" xr:uid="{B59FB966-A0F5-4F56-94C9-46C749A827B4}">
          <x14:formula1>
            <xm:f>IF($D$17="Electric",lookup!$D$3:$D$7,lookup!$C$3:$C$5)</xm:f>
          </x14:formula1>
          <xm:sqref>F16</xm:sqref>
        </x14:dataValidation>
        <x14:dataValidation type="list" allowBlank="1" showInputMessage="1" showErrorMessage="1" prompt="Select the appliance you would like to install. If the appliance is already electric, the only option to select will be “Already Electric”." xr:uid="{649DEF1A-E668-4E01-BF95-4A6EC7BFD477}">
          <x14:formula1>
            <xm:f>IF($E$15="Electric",lookup!$L$8,lookup!$D$20:$D$24)</xm:f>
          </x14:formula1>
          <xm:sqref>E17</xm:sqref>
        </x14:dataValidation>
        <x14:dataValidation type="list" allowBlank="1" showInputMessage="1" showErrorMessage="1" prompt="Select the appliance you would like to install. If the appliance is already electric, the only option to select will be “Already Electric”." xr:uid="{BC1D49C3-F4E8-478B-944C-88660F430789}">
          <x14:formula1>
            <xm:f>IF($G$15="Electric",lookup!$L$8,lookup!$D$11:$D$15)</xm:f>
          </x14:formula1>
          <xm:sqref>G17</xm:sqref>
        </x14:dataValidation>
        <x14:dataValidation type="list" allowBlank="1" showInputMessage="1" showErrorMessage="1" prompt="Select the customers electrified system. If the system is already electrified, the only option that will available to select is &quot;Already Electrified&quot;" xr:uid="{8F05655C-1210-4D62-AB67-28ADD6C48637}">
          <x14:formula1>
            <xm:f>IF($G$15="Electric",lookup!$L$8,lookup!$D$11:$D$16)</xm:f>
          </x14:formula1>
          <xm:sqref>G17</xm:sqref>
        </x14:dataValidation>
        <x14:dataValidation type="list" allowBlank="1" showInputMessage="1" showErrorMessage="1" prompt="Select the appliance you would like to install. If the appliance is already electric, the only option to select will be “Already Electric”." xr:uid="{E54872A8-DE4E-4486-A591-F5CCC05D0E28}">
          <x14:formula1>
            <xm:f>lookup!$K$8:$K$9</xm:f>
          </x14:formula1>
          <xm:sqref>E17</xm:sqref>
        </x14:dataValidation>
        <x14:dataValidation type="list" allowBlank="1" showInputMessage="1" showErrorMessage="1" prompt="Select the appliance you would like to install. If the appliance is already electric, the only option to select will be “Already Electric”." xr:uid="{A944E0BC-1164-465C-A560-2C3FD8082C96}">
          <x14:formula1>
            <xm:f>IF($D$15="Electric",lookup!$L$8,IF(OR(matrix!$K$6=lookup!C30,matrix!$K$6=lookup!C31),lookup!$F$30:$F$34,IF(OR(matrix!$K$6=lookup!C32,matrix!$K$6=lookup!C33),lookup!$F$42:$F$46)))</xm:f>
          </x14:formula1>
          <xm:sqref>D17</xm:sqref>
        </x14:dataValidation>
        <x14:dataValidation type="list" allowBlank="1" showInputMessage="1" showErrorMessage="1" xr:uid="{85DC08DF-F705-4DD2-B101-72AED5C308C6}">
          <x14:formula1>
            <xm:f>IF($D$15="Electric",lookup!$L$8,IF(matrix!$K$6=lookup!D30,lookup!$F$30:$F$33,IF(matrix!$K$6=lookup!D31,lookup!$F$36:$F$39,IF(matrix!$K$6=lookup!D32,lookup!$F$42:$F$45))))</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3E020-A521-408C-98B4-DE667658B802}">
  <dimension ref="B2:M44"/>
  <sheetViews>
    <sheetView showGridLines="0" topLeftCell="B1" zoomScale="130" zoomScaleNormal="130" workbookViewId="0">
      <selection activeCell="E15" sqref="E15"/>
    </sheetView>
  </sheetViews>
  <sheetFormatPr defaultRowHeight="15" x14ac:dyDescent="0.25"/>
  <cols>
    <col min="1" max="1" width="9.140625" customWidth="1"/>
    <col min="2" max="2" width="21.140625" style="65" bestFit="1" customWidth="1"/>
    <col min="3" max="3" width="48.5703125" style="66" bestFit="1" customWidth="1"/>
    <col min="4" max="4" width="66.7109375" style="66" bestFit="1" customWidth="1"/>
    <col min="5" max="5" width="20.28515625" style="66" customWidth="1"/>
    <col min="6" max="6" width="99.85546875" style="66" bestFit="1" customWidth="1"/>
    <col min="7" max="13" width="9.140625" style="66"/>
  </cols>
  <sheetData>
    <row r="2" spans="2:13" s="75" customFormat="1" ht="25.5" x14ac:dyDescent="0.25">
      <c r="B2" s="73" t="s">
        <v>2</v>
      </c>
      <c r="C2" s="73" t="s">
        <v>237</v>
      </c>
      <c r="D2" s="73" t="s">
        <v>286</v>
      </c>
      <c r="E2" s="73" t="s">
        <v>250</v>
      </c>
      <c r="F2" s="73" t="s">
        <v>219</v>
      </c>
      <c r="G2" s="74"/>
      <c r="H2" s="74"/>
      <c r="I2" s="74"/>
      <c r="J2" s="74"/>
      <c r="K2" s="74"/>
      <c r="L2" s="74"/>
      <c r="M2" s="74"/>
    </row>
    <row r="3" spans="2:13" x14ac:dyDescent="0.25">
      <c r="B3" s="145" t="s">
        <v>235</v>
      </c>
      <c r="C3" s="71" t="s">
        <v>118</v>
      </c>
      <c r="D3" s="71" t="s">
        <v>278</v>
      </c>
      <c r="E3" s="71" t="s">
        <v>254</v>
      </c>
      <c r="F3" s="71"/>
    </row>
    <row r="4" spans="2:13" x14ac:dyDescent="0.25">
      <c r="B4" s="145"/>
      <c r="C4" s="71" t="s">
        <v>119</v>
      </c>
      <c r="D4" s="71" t="s">
        <v>279</v>
      </c>
      <c r="E4" s="71" t="s">
        <v>254</v>
      </c>
      <c r="F4" s="71" t="s">
        <v>277</v>
      </c>
    </row>
    <row r="5" spans="2:13" x14ac:dyDescent="0.25">
      <c r="B5" s="145"/>
      <c r="C5" s="71" t="s">
        <v>121</v>
      </c>
      <c r="D5" s="71" t="s">
        <v>280</v>
      </c>
      <c r="E5" s="71" t="s">
        <v>253</v>
      </c>
      <c r="F5" s="71"/>
    </row>
    <row r="6" spans="2:13" x14ac:dyDescent="0.25">
      <c r="B6" s="145"/>
      <c r="C6" s="71" t="s">
        <v>120</v>
      </c>
      <c r="D6" s="71" t="s">
        <v>281</v>
      </c>
      <c r="E6" s="71" t="s">
        <v>253</v>
      </c>
      <c r="F6" s="71"/>
    </row>
    <row r="7" spans="2:13" x14ac:dyDescent="0.25">
      <c r="B7" s="145" t="s">
        <v>236</v>
      </c>
      <c r="C7" s="71" t="s">
        <v>122</v>
      </c>
      <c r="D7" s="71" t="s">
        <v>96</v>
      </c>
      <c r="E7" s="71" t="s">
        <v>254</v>
      </c>
      <c r="F7" s="71"/>
    </row>
    <row r="8" spans="2:13" x14ac:dyDescent="0.25">
      <c r="B8" s="145"/>
      <c r="C8" s="71" t="s">
        <v>123</v>
      </c>
      <c r="D8" s="71" t="s">
        <v>95</v>
      </c>
      <c r="E8" s="71" t="s">
        <v>254</v>
      </c>
      <c r="F8" s="71"/>
    </row>
    <row r="9" spans="2:13" x14ac:dyDescent="0.25">
      <c r="B9" s="145"/>
      <c r="C9" s="71" t="s">
        <v>124</v>
      </c>
      <c r="D9" s="71" t="s">
        <v>97</v>
      </c>
      <c r="E9" s="71" t="s">
        <v>254</v>
      </c>
      <c r="F9" s="71"/>
    </row>
    <row r="10" spans="2:13" x14ac:dyDescent="0.25">
      <c r="B10" s="145"/>
      <c r="C10" s="71" t="s">
        <v>125</v>
      </c>
      <c r="D10" s="71" t="s">
        <v>98</v>
      </c>
      <c r="E10" s="71" t="s">
        <v>254</v>
      </c>
      <c r="F10" s="71"/>
    </row>
    <row r="11" spans="2:13" x14ac:dyDescent="0.25">
      <c r="B11" s="145"/>
      <c r="C11" s="71" t="s">
        <v>129</v>
      </c>
      <c r="D11" s="66" t="s">
        <v>282</v>
      </c>
      <c r="E11" s="71" t="s">
        <v>253</v>
      </c>
      <c r="F11" s="71"/>
    </row>
    <row r="12" spans="2:13" x14ac:dyDescent="0.25">
      <c r="B12" s="145"/>
      <c r="C12" s="71" t="s">
        <v>128</v>
      </c>
      <c r="D12" s="71" t="s">
        <v>283</v>
      </c>
      <c r="E12" s="71" t="s">
        <v>253</v>
      </c>
      <c r="F12" s="71"/>
    </row>
    <row r="13" spans="2:13" x14ac:dyDescent="0.25">
      <c r="B13" s="145"/>
      <c r="C13" s="71" t="s">
        <v>127</v>
      </c>
      <c r="D13" s="71" t="s">
        <v>284</v>
      </c>
      <c r="E13" s="71" t="s">
        <v>253</v>
      </c>
      <c r="F13" s="71"/>
    </row>
    <row r="14" spans="2:13" x14ac:dyDescent="0.25">
      <c r="B14" s="145"/>
      <c r="C14" s="71" t="s">
        <v>126</v>
      </c>
      <c r="D14" s="71" t="s">
        <v>285</v>
      </c>
      <c r="E14" s="71" t="s">
        <v>253</v>
      </c>
      <c r="F14" s="71"/>
    </row>
    <row r="16" spans="2:13" s="75" customFormat="1" ht="25.5" x14ac:dyDescent="0.25">
      <c r="B16" s="73" t="s">
        <v>3</v>
      </c>
      <c r="C16" s="73" t="s">
        <v>237</v>
      </c>
      <c r="D16" s="73" t="s">
        <v>286</v>
      </c>
      <c r="E16" s="73" t="s">
        <v>250</v>
      </c>
      <c r="F16" s="73" t="s">
        <v>219</v>
      </c>
      <c r="G16" s="74"/>
      <c r="H16" s="74"/>
      <c r="I16" s="74"/>
      <c r="J16" s="74"/>
      <c r="K16" s="74"/>
      <c r="L16" s="74"/>
      <c r="M16" s="74"/>
    </row>
    <row r="17" spans="2:13" x14ac:dyDescent="0.25">
      <c r="B17" s="145" t="s">
        <v>235</v>
      </c>
      <c r="C17" s="71" t="s">
        <v>185</v>
      </c>
      <c r="D17" s="71" t="s">
        <v>258</v>
      </c>
      <c r="E17" s="71" t="s">
        <v>252</v>
      </c>
      <c r="F17" s="71"/>
    </row>
    <row r="18" spans="2:13" x14ac:dyDescent="0.25">
      <c r="B18" s="145"/>
      <c r="C18" s="71" t="s">
        <v>187</v>
      </c>
      <c r="D18" s="71" t="s">
        <v>261</v>
      </c>
      <c r="E18" s="71" t="s">
        <v>252</v>
      </c>
      <c r="F18" s="71"/>
    </row>
    <row r="19" spans="2:13" x14ac:dyDescent="0.25">
      <c r="B19" s="145"/>
      <c r="C19" s="71" t="s">
        <v>189</v>
      </c>
      <c r="D19" s="71" t="s">
        <v>262</v>
      </c>
      <c r="E19" s="71" t="s">
        <v>252</v>
      </c>
      <c r="F19" s="71"/>
    </row>
    <row r="20" spans="2:13" x14ac:dyDescent="0.25">
      <c r="B20" s="145"/>
      <c r="C20" s="71" t="s">
        <v>191</v>
      </c>
      <c r="D20" s="71" t="s">
        <v>263</v>
      </c>
      <c r="E20" s="71" t="s">
        <v>252</v>
      </c>
      <c r="F20" s="71"/>
    </row>
    <row r="21" spans="2:13" x14ac:dyDescent="0.25">
      <c r="B21" s="145"/>
      <c r="C21" s="71" t="s">
        <v>193</v>
      </c>
      <c r="D21" s="71" t="s">
        <v>259</v>
      </c>
      <c r="E21" s="71" t="s">
        <v>252</v>
      </c>
      <c r="F21" s="71"/>
    </row>
    <row r="22" spans="2:13" x14ac:dyDescent="0.25">
      <c r="B22" s="145"/>
      <c r="C22" s="71" t="s">
        <v>194</v>
      </c>
      <c r="D22" s="71" t="s">
        <v>260</v>
      </c>
      <c r="E22" s="71" t="s">
        <v>252</v>
      </c>
      <c r="F22" s="71"/>
    </row>
    <row r="23" spans="2:13" x14ac:dyDescent="0.25">
      <c r="B23" s="145" t="s">
        <v>236</v>
      </c>
      <c r="C23" s="71" t="s">
        <v>186</v>
      </c>
      <c r="D23" s="71" t="s">
        <v>257</v>
      </c>
      <c r="E23" s="71" t="s">
        <v>252</v>
      </c>
      <c r="F23" s="71" t="s">
        <v>287</v>
      </c>
    </row>
    <row r="24" spans="2:13" x14ac:dyDescent="0.25">
      <c r="B24" s="145"/>
      <c r="C24" s="71" t="s">
        <v>188</v>
      </c>
      <c r="D24" s="71" t="s">
        <v>272</v>
      </c>
      <c r="E24" s="71" t="s">
        <v>252</v>
      </c>
      <c r="F24" s="71" t="s">
        <v>287</v>
      </c>
    </row>
    <row r="25" spans="2:13" x14ac:dyDescent="0.25">
      <c r="B25" s="145"/>
      <c r="C25" s="71" t="s">
        <v>190</v>
      </c>
      <c r="D25" s="71" t="s">
        <v>273</v>
      </c>
      <c r="E25" s="71" t="s">
        <v>252</v>
      </c>
      <c r="F25" s="71" t="s">
        <v>287</v>
      </c>
    </row>
    <row r="26" spans="2:13" x14ac:dyDescent="0.25">
      <c r="B26" s="145"/>
      <c r="C26" s="71" t="s">
        <v>192</v>
      </c>
      <c r="D26" s="71" t="s">
        <v>274</v>
      </c>
      <c r="E26" s="71" t="s">
        <v>252</v>
      </c>
      <c r="F26" s="71" t="s">
        <v>287</v>
      </c>
    </row>
    <row r="28" spans="2:13" s="75" customFormat="1" ht="25.5" x14ac:dyDescent="0.25">
      <c r="B28" s="73" t="s">
        <v>110</v>
      </c>
      <c r="C28" s="73" t="s">
        <v>237</v>
      </c>
      <c r="D28" s="73" t="s">
        <v>286</v>
      </c>
      <c r="E28" s="73" t="s">
        <v>250</v>
      </c>
      <c r="F28" s="73" t="s">
        <v>219</v>
      </c>
      <c r="G28" s="74"/>
      <c r="H28" s="74"/>
      <c r="I28" s="74"/>
      <c r="J28" s="74"/>
      <c r="K28" s="74"/>
      <c r="L28" s="74"/>
      <c r="M28" s="74"/>
    </row>
    <row r="29" spans="2:13" x14ac:dyDescent="0.25">
      <c r="B29" s="145" t="s">
        <v>235</v>
      </c>
      <c r="C29" s="71" t="s">
        <v>26</v>
      </c>
      <c r="D29" s="71" t="s">
        <v>238</v>
      </c>
      <c r="E29" s="71" t="s">
        <v>251</v>
      </c>
      <c r="F29" s="71"/>
    </row>
    <row r="30" spans="2:13" x14ac:dyDescent="0.25">
      <c r="B30" s="145"/>
      <c r="C30" s="71" t="s">
        <v>28</v>
      </c>
      <c r="D30" s="71" t="s">
        <v>239</v>
      </c>
      <c r="E30" s="71" t="s">
        <v>251</v>
      </c>
      <c r="F30" s="71"/>
    </row>
    <row r="31" spans="2:13" x14ac:dyDescent="0.25">
      <c r="B31" s="145"/>
      <c r="C31" s="71" t="s">
        <v>31</v>
      </c>
      <c r="D31" s="71" t="s">
        <v>240</v>
      </c>
      <c r="E31" s="71" t="s">
        <v>251</v>
      </c>
      <c r="F31" s="71"/>
    </row>
    <row r="32" spans="2:13" x14ac:dyDescent="0.25">
      <c r="B32" s="145" t="s">
        <v>236</v>
      </c>
      <c r="C32" s="71" t="s">
        <v>27</v>
      </c>
      <c r="D32" s="71" t="s">
        <v>241</v>
      </c>
      <c r="E32" s="71" t="s">
        <v>251</v>
      </c>
      <c r="F32" s="71"/>
    </row>
    <row r="33" spans="2:13" x14ac:dyDescent="0.25">
      <c r="B33" s="145"/>
      <c r="C33" s="116" t="s">
        <v>297</v>
      </c>
      <c r="D33" s="71" t="s">
        <v>242</v>
      </c>
      <c r="E33" s="71" t="s">
        <v>251</v>
      </c>
      <c r="F33" s="71"/>
    </row>
    <row r="34" spans="2:13" x14ac:dyDescent="0.25">
      <c r="B34" s="145"/>
      <c r="C34" s="71" t="s">
        <v>30</v>
      </c>
      <c r="D34" s="71" t="s">
        <v>243</v>
      </c>
      <c r="E34" s="71" t="s">
        <v>251</v>
      </c>
      <c r="F34" s="71"/>
    </row>
    <row r="35" spans="2:13" x14ac:dyDescent="0.25">
      <c r="B35" s="145"/>
      <c r="C35" s="71" t="s">
        <v>32</v>
      </c>
      <c r="D35" s="71" t="s">
        <v>244</v>
      </c>
      <c r="E35" s="71" t="s">
        <v>251</v>
      </c>
      <c r="F35" s="71"/>
    </row>
    <row r="37" spans="2:13" s="75" customFormat="1" ht="25.5" x14ac:dyDescent="0.25">
      <c r="B37" s="73" t="s">
        <v>4</v>
      </c>
      <c r="C37" s="73" t="s">
        <v>237</v>
      </c>
      <c r="D37" s="73" t="s">
        <v>286</v>
      </c>
      <c r="E37" s="73" t="s">
        <v>250</v>
      </c>
      <c r="F37" s="73" t="s">
        <v>219</v>
      </c>
      <c r="G37" s="74"/>
      <c r="H37" s="74"/>
      <c r="I37" s="74"/>
      <c r="J37" s="74"/>
      <c r="K37" s="74"/>
      <c r="L37" s="74"/>
      <c r="M37" s="74"/>
    </row>
    <row r="38" spans="2:13" x14ac:dyDescent="0.25">
      <c r="B38" s="70" t="s">
        <v>234</v>
      </c>
      <c r="C38" s="71" t="s">
        <v>23</v>
      </c>
      <c r="D38" s="71" t="s">
        <v>256</v>
      </c>
      <c r="E38" s="71" t="s">
        <v>255</v>
      </c>
      <c r="F38" s="71"/>
    </row>
    <row r="39" spans="2:13" x14ac:dyDescent="0.25">
      <c r="B39" s="145" t="s">
        <v>236</v>
      </c>
      <c r="C39" s="71" t="s">
        <v>176</v>
      </c>
      <c r="D39" s="71" t="s">
        <v>51</v>
      </c>
      <c r="E39" s="71" t="s">
        <v>255</v>
      </c>
      <c r="F39" s="71"/>
    </row>
    <row r="40" spans="2:13" x14ac:dyDescent="0.25">
      <c r="B40" s="145"/>
      <c r="C40" s="71" t="s">
        <v>177</v>
      </c>
      <c r="D40" s="71" t="s">
        <v>50</v>
      </c>
      <c r="E40" s="71" t="s">
        <v>255</v>
      </c>
      <c r="F40" s="71"/>
    </row>
    <row r="41" spans="2:13" x14ac:dyDescent="0.25">
      <c r="B41" s="145"/>
      <c r="C41" s="71" t="s">
        <v>178</v>
      </c>
      <c r="D41" s="71" t="s">
        <v>275</v>
      </c>
      <c r="E41" s="71" t="s">
        <v>255</v>
      </c>
      <c r="F41" s="71" t="s">
        <v>288</v>
      </c>
    </row>
    <row r="42" spans="2:13" x14ac:dyDescent="0.25">
      <c r="B42" s="145"/>
      <c r="C42" s="71" t="s">
        <v>179</v>
      </c>
      <c r="D42" s="71" t="s">
        <v>276</v>
      </c>
      <c r="E42" s="71" t="s">
        <v>255</v>
      </c>
      <c r="F42" s="71" t="s">
        <v>288</v>
      </c>
    </row>
    <row r="44" spans="2:13" x14ac:dyDescent="0.25">
      <c r="F44" s="101" t="str">
        <f>lookup!K15</f>
        <v>Last update March 2024</v>
      </c>
    </row>
  </sheetData>
  <mergeCells count="7">
    <mergeCell ref="B39:B42"/>
    <mergeCell ref="B3:B6"/>
    <mergeCell ref="B7:B14"/>
    <mergeCell ref="B17:B22"/>
    <mergeCell ref="B23:B26"/>
    <mergeCell ref="B29:B31"/>
    <mergeCell ref="B32:B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3C69-A257-4113-8254-824144D0486D}">
  <dimension ref="B1:B92"/>
  <sheetViews>
    <sheetView showGridLines="0" workbookViewId="0">
      <selection activeCell="E15" sqref="E15"/>
    </sheetView>
  </sheetViews>
  <sheetFormatPr defaultRowHeight="15" x14ac:dyDescent="0.25"/>
  <cols>
    <col min="2" max="2" width="132.85546875" style="60" customWidth="1"/>
  </cols>
  <sheetData>
    <row r="1" spans="2:2" x14ac:dyDescent="0.25">
      <c r="B1" s="125"/>
    </row>
    <row r="2" spans="2:2" ht="20.25" x14ac:dyDescent="0.25">
      <c r="B2" s="62" t="s">
        <v>331</v>
      </c>
    </row>
    <row r="3" spans="2:2" x14ac:dyDescent="0.25">
      <c r="B3" s="64"/>
    </row>
    <row r="4" spans="2:2" x14ac:dyDescent="0.25">
      <c r="B4" s="64"/>
    </row>
    <row r="5" spans="2:2" x14ac:dyDescent="0.25">
      <c r="B5" s="64"/>
    </row>
    <row r="6" spans="2:2" x14ac:dyDescent="0.25">
      <c r="B6" s="64"/>
    </row>
    <row r="7" spans="2:2" x14ac:dyDescent="0.25">
      <c r="B7" s="64"/>
    </row>
    <row r="8" spans="2:2" x14ac:dyDescent="0.25">
      <c r="B8" s="64"/>
    </row>
    <row r="9" spans="2:2" x14ac:dyDescent="0.25">
      <c r="B9" s="64"/>
    </row>
    <row r="10" spans="2:2" x14ac:dyDescent="0.25">
      <c r="B10" s="64"/>
    </row>
    <row r="11" spans="2:2" x14ac:dyDescent="0.25">
      <c r="B11" s="64"/>
    </row>
    <row r="12" spans="2:2" x14ac:dyDescent="0.25">
      <c r="B12" s="64"/>
    </row>
    <row r="13" spans="2:2" x14ac:dyDescent="0.25">
      <c r="B13" s="64"/>
    </row>
    <row r="14" spans="2:2" x14ac:dyDescent="0.25">
      <c r="B14" s="64"/>
    </row>
    <row r="15" spans="2:2" x14ac:dyDescent="0.25">
      <c r="B15" s="64"/>
    </row>
    <row r="16" spans="2:2" x14ac:dyDescent="0.25">
      <c r="B16" s="64"/>
    </row>
    <row r="17" spans="2:2" x14ac:dyDescent="0.25">
      <c r="B17" s="64"/>
    </row>
    <row r="18" spans="2:2" x14ac:dyDescent="0.25">
      <c r="B18" s="64"/>
    </row>
    <row r="19" spans="2:2" x14ac:dyDescent="0.25">
      <c r="B19" s="64"/>
    </row>
    <row r="20" spans="2:2" x14ac:dyDescent="0.25">
      <c r="B20" s="64"/>
    </row>
    <row r="21" spans="2:2" x14ac:dyDescent="0.25">
      <c r="B21" s="64"/>
    </row>
    <row r="22" spans="2:2" x14ac:dyDescent="0.25">
      <c r="B22" s="64"/>
    </row>
    <row r="23" spans="2:2" x14ac:dyDescent="0.25">
      <c r="B23" s="64"/>
    </row>
    <row r="24" spans="2:2" x14ac:dyDescent="0.25">
      <c r="B24" s="64"/>
    </row>
    <row r="25" spans="2:2" x14ac:dyDescent="0.25">
      <c r="B25" s="64"/>
    </row>
    <row r="26" spans="2:2" x14ac:dyDescent="0.25">
      <c r="B26" s="64"/>
    </row>
    <row r="27" spans="2:2" x14ac:dyDescent="0.25">
      <c r="B27" s="64"/>
    </row>
    <row r="28" spans="2:2" x14ac:dyDescent="0.25">
      <c r="B28" s="64"/>
    </row>
    <row r="29" spans="2:2" x14ac:dyDescent="0.25">
      <c r="B29" s="64"/>
    </row>
    <row r="30" spans="2:2" x14ac:dyDescent="0.25">
      <c r="B30" s="64"/>
    </row>
    <row r="31" spans="2:2" x14ac:dyDescent="0.25">
      <c r="B31" s="64"/>
    </row>
    <row r="32" spans="2:2" x14ac:dyDescent="0.25">
      <c r="B32" s="64"/>
    </row>
    <row r="33" spans="2:2" x14ac:dyDescent="0.25">
      <c r="B33" s="64"/>
    </row>
    <row r="34" spans="2:2" x14ac:dyDescent="0.25">
      <c r="B34" s="64"/>
    </row>
    <row r="35" spans="2:2" x14ac:dyDescent="0.25">
      <c r="B35" s="64"/>
    </row>
    <row r="36" spans="2:2" x14ac:dyDescent="0.25">
      <c r="B36" s="64"/>
    </row>
    <row r="37" spans="2:2" x14ac:dyDescent="0.25">
      <c r="B37" s="64"/>
    </row>
    <row r="38" spans="2:2" x14ac:dyDescent="0.25">
      <c r="B38" s="64"/>
    </row>
    <row r="39" spans="2:2" x14ac:dyDescent="0.25">
      <c r="B39" s="64"/>
    </row>
    <row r="40" spans="2:2" x14ac:dyDescent="0.25">
      <c r="B40" s="64"/>
    </row>
    <row r="41" spans="2:2" x14ac:dyDescent="0.25">
      <c r="B41" s="64"/>
    </row>
    <row r="42" spans="2:2" x14ac:dyDescent="0.25">
      <c r="B42" s="64"/>
    </row>
    <row r="43" spans="2:2" x14ac:dyDescent="0.25">
      <c r="B43" s="64"/>
    </row>
    <row r="44" spans="2:2" x14ac:dyDescent="0.25">
      <c r="B44" s="64"/>
    </row>
    <row r="45" spans="2:2" x14ac:dyDescent="0.25">
      <c r="B45" s="64"/>
    </row>
    <row r="46" spans="2:2" x14ac:dyDescent="0.25">
      <c r="B46" s="64"/>
    </row>
    <row r="47" spans="2:2" x14ac:dyDescent="0.25">
      <c r="B47" s="64"/>
    </row>
    <row r="48" spans="2:2" x14ac:dyDescent="0.25">
      <c r="B48" s="64"/>
    </row>
    <row r="49" spans="2:2" x14ac:dyDescent="0.25">
      <c r="B49" s="64"/>
    </row>
    <row r="50" spans="2:2" x14ac:dyDescent="0.25">
      <c r="B50" s="64"/>
    </row>
    <row r="51" spans="2:2" x14ac:dyDescent="0.25">
      <c r="B51" s="64"/>
    </row>
    <row r="52" spans="2:2" x14ac:dyDescent="0.25">
      <c r="B52" s="64"/>
    </row>
    <row r="53" spans="2:2" x14ac:dyDescent="0.25">
      <c r="B53" s="64"/>
    </row>
    <row r="54" spans="2:2" x14ac:dyDescent="0.25">
      <c r="B54" s="64"/>
    </row>
    <row r="55" spans="2:2" x14ac:dyDescent="0.25">
      <c r="B55" s="64"/>
    </row>
    <row r="56" spans="2:2" x14ac:dyDescent="0.25">
      <c r="B56" s="64"/>
    </row>
    <row r="57" spans="2:2" x14ac:dyDescent="0.25">
      <c r="B57" s="64"/>
    </row>
    <row r="58" spans="2:2" x14ac:dyDescent="0.25">
      <c r="B58" s="64"/>
    </row>
    <row r="59" spans="2:2" x14ac:dyDescent="0.25">
      <c r="B59" s="64"/>
    </row>
    <row r="60" spans="2:2" x14ac:dyDescent="0.25">
      <c r="B60" s="64"/>
    </row>
    <row r="61" spans="2:2" x14ac:dyDescent="0.25">
      <c r="B61" s="64"/>
    </row>
    <row r="62" spans="2:2" x14ac:dyDescent="0.25">
      <c r="B62" s="64"/>
    </row>
    <row r="63" spans="2:2" x14ac:dyDescent="0.25">
      <c r="B63" s="64"/>
    </row>
    <row r="64" spans="2:2" x14ac:dyDescent="0.25">
      <c r="B64" s="64"/>
    </row>
    <row r="65" spans="2:2" x14ac:dyDescent="0.25">
      <c r="B65" s="64"/>
    </row>
    <row r="66" spans="2:2" x14ac:dyDescent="0.25">
      <c r="B66" s="64"/>
    </row>
    <row r="67" spans="2:2" x14ac:dyDescent="0.25">
      <c r="B67" s="64"/>
    </row>
    <row r="68" spans="2:2" x14ac:dyDescent="0.25">
      <c r="B68" s="64"/>
    </row>
    <row r="69" spans="2:2" x14ac:dyDescent="0.25">
      <c r="B69" s="64"/>
    </row>
    <row r="70" spans="2:2" x14ac:dyDescent="0.25">
      <c r="B70" s="64"/>
    </row>
    <row r="71" spans="2:2" x14ac:dyDescent="0.25">
      <c r="B71" s="64"/>
    </row>
    <row r="72" spans="2:2" x14ac:dyDescent="0.25">
      <c r="B72" s="64"/>
    </row>
    <row r="73" spans="2:2" x14ac:dyDescent="0.25">
      <c r="B73" s="64"/>
    </row>
    <row r="74" spans="2:2" x14ac:dyDescent="0.25">
      <c r="B74" s="64"/>
    </row>
    <row r="75" spans="2:2" x14ac:dyDescent="0.25">
      <c r="B75" s="64"/>
    </row>
    <row r="76" spans="2:2" x14ac:dyDescent="0.25">
      <c r="B76" s="64"/>
    </row>
    <row r="77" spans="2:2" x14ac:dyDescent="0.25">
      <c r="B77" s="64"/>
    </row>
    <row r="78" spans="2:2" x14ac:dyDescent="0.25">
      <c r="B78" s="64"/>
    </row>
    <row r="79" spans="2:2" x14ac:dyDescent="0.25">
      <c r="B79" s="64"/>
    </row>
    <row r="80" spans="2:2" x14ac:dyDescent="0.25">
      <c r="B80" s="64"/>
    </row>
    <row r="81" spans="2:2" x14ac:dyDescent="0.25">
      <c r="B81" s="64"/>
    </row>
    <row r="82" spans="2:2" x14ac:dyDescent="0.25">
      <c r="B82" s="64"/>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53596-5273-4100-A15E-4A1C9F1ECBE8}">
  <sheetPr codeName="Sheet7">
    <tabColor theme="7" tint="0.79998168889431442"/>
  </sheetPr>
  <dimension ref="A2:CV86"/>
  <sheetViews>
    <sheetView zoomScale="85" zoomScaleNormal="85" workbookViewId="0">
      <selection activeCell="F25" sqref="F25"/>
    </sheetView>
  </sheetViews>
  <sheetFormatPr defaultRowHeight="15" x14ac:dyDescent="0.25"/>
  <cols>
    <col min="2" max="2" width="52.85546875" bestFit="1" customWidth="1"/>
    <col min="6" max="6" width="12.85546875" bestFit="1" customWidth="1"/>
    <col min="7" max="7" width="12.7109375" bestFit="1" customWidth="1"/>
    <col min="9" max="9" width="14.140625" customWidth="1"/>
    <col min="12" max="12" width="11.5703125" customWidth="1"/>
    <col min="13" max="13" width="12.7109375" bestFit="1" customWidth="1"/>
    <col min="15" max="15" width="17.140625" customWidth="1"/>
    <col min="18" max="18" width="10.85546875" customWidth="1"/>
    <col min="21" max="21" width="13.7109375" customWidth="1"/>
    <col min="24" max="24" width="12.85546875" bestFit="1" customWidth="1"/>
    <col min="30" max="30" width="9.7109375" bestFit="1" customWidth="1"/>
    <col min="31" max="31" width="10.7109375" bestFit="1" customWidth="1"/>
    <col min="33" max="33" width="14.140625" customWidth="1"/>
    <col min="36" max="36" width="10.140625" customWidth="1"/>
    <col min="39" max="39" width="21.42578125" customWidth="1"/>
    <col min="40" max="40" width="8.85546875" customWidth="1"/>
    <col min="42" max="42" width="9.7109375" bestFit="1" customWidth="1"/>
    <col min="45" max="45" width="17.85546875" customWidth="1"/>
    <col min="48" max="48" width="9.7109375" bestFit="1" customWidth="1"/>
    <col min="64" max="64" width="8.85546875" customWidth="1"/>
    <col min="69" max="69" width="10.42578125" bestFit="1" customWidth="1"/>
    <col min="70" max="70" width="10.7109375" customWidth="1"/>
    <col min="95" max="98" width="9.140625" customWidth="1"/>
  </cols>
  <sheetData>
    <row r="2" spans="2:76" x14ac:dyDescent="0.25">
      <c r="B2" s="1" t="s">
        <v>52</v>
      </c>
      <c r="C2" s="35" t="s">
        <v>172</v>
      </c>
      <c r="D2" s="35" t="s">
        <v>171</v>
      </c>
      <c r="E2" s="35" t="s">
        <v>173</v>
      </c>
      <c r="F2" s="35" t="s">
        <v>174</v>
      </c>
      <c r="G2" s="35" t="s">
        <v>33</v>
      </c>
      <c r="H2" s="35" t="s">
        <v>34</v>
      </c>
      <c r="I2" s="35" t="s">
        <v>55</v>
      </c>
      <c r="J2" s="41"/>
      <c r="K2" s="35" t="s">
        <v>56</v>
      </c>
      <c r="L2" s="35" t="s">
        <v>57</v>
      </c>
      <c r="BR2" s="1"/>
    </row>
    <row r="3" spans="2:76" x14ac:dyDescent="0.25">
      <c r="B3" s="37" t="s">
        <v>53</v>
      </c>
      <c r="C3" s="36" t="str" cm="1">
        <f t="array" ref="C3">IFERROR(IF(OR(L3="Not Electrifying",L3="Already Electrified"),"",INDEX($C$10:$AF$12,$I$3,1+($J$3-1)*6)),"")</f>
        <v/>
      </c>
      <c r="D3" s="36" t="str" cm="1">
        <f t="array" ref="D3">IFERROR(IF(OR(L3="Not Electrifying",L3="Already Electrified"),"",INDEX($C$10:$AF$12,$I$3,2+($J$3-1)*6)),"")</f>
        <v/>
      </c>
      <c r="E3" s="48" t="str" cm="1">
        <f t="array" ref="E3">IFERROR(IF(OR(L3="Not Electrifying",L3="Already Electrified"),"",INDEX($C$10:$AF$12,$I$3,3+($J$3-1)*6)),"")</f>
        <v/>
      </c>
      <c r="F3" s="48" t="e" cm="1">
        <f t="array" ref="F3">-IFERROR(IF(OR(L3="Not Electrifying",L3="Already Electrified"),"",INDEX($C$10:$AF$12,$I$3,4+($J$3-1)*6)),"")</f>
        <v>#VALUE!</v>
      </c>
      <c r="G3" s="48" t="str" cm="1">
        <f t="array" ref="G3">IFERROR(IF(OR(L3="Not Electrifying",L3="Already Electrified"),"",INDEX($C$10:$AF$12,$I$3,5+($J$3-1)*6)),"")</f>
        <v/>
      </c>
      <c r="H3" s="48" t="str" cm="1">
        <f t="array" ref="H3">IFERROR(IF(OR(L3="Not Electrifying",L3="Already Electrified"),"",INDEX($C$10:$AF$12,$I$3,6+($J$3-1)*6)),"")</f>
        <v/>
      </c>
      <c r="I3" s="37" t="e">
        <f>MATCH(K3,lookup!$C$3:$C$5,0)</f>
        <v>#N/A</v>
      </c>
      <c r="J3" s="37" t="e">
        <f>MATCH(L3,lookup!$D$3:$D$8,0)</f>
        <v>#N/A</v>
      </c>
      <c r="K3" s="37">
        <f>'Electrification Estimator'!F16</f>
        <v>0</v>
      </c>
      <c r="L3" s="37">
        <f>'Electrification Estimator'!F17</f>
        <v>0</v>
      </c>
      <c r="BR3" s="2"/>
    </row>
    <row r="4" spans="2:76" x14ac:dyDescent="0.25">
      <c r="B4" s="37" t="s">
        <v>4</v>
      </c>
      <c r="C4" s="36" t="str" cm="1">
        <f t="array" ref="C4">IFERROR(IF(OR(L4="Not Electrifying",L4="Already Electrified"),"",INDEX($C$16:$Z$16,$I$4,1+($J$4-1)*6)),"")</f>
        <v/>
      </c>
      <c r="D4" s="36" t="str" cm="1">
        <f t="array" ref="D4">IFERROR(IF(OR(L4="Not Electrifying",L4="Already Electrified"),"",INDEX($C$16:$Z$16,$I$4,2+($J$4-1)*6)),"")</f>
        <v/>
      </c>
      <c r="E4" s="48" t="str" cm="1">
        <f t="array" ref="E4">IFERROR(IF(OR(L4="Not Electrifying",L4="Already Electrified"),"",INDEX($C$16:$Z$16,$I$4,3+($J$4-1)*6)),"")</f>
        <v/>
      </c>
      <c r="F4" s="48" t="e" cm="1">
        <f t="array" ref="F4">-IFERROR(IF(OR(L4="Not Electrifying",L4="Already Electrified"),"",INDEX($C$16:$Z$16,$I$4,4+($J$4-1)*6)),"")</f>
        <v>#VALUE!</v>
      </c>
      <c r="G4" s="48" t="str" cm="1">
        <f t="array" ref="G4">IFERROR(IF(OR(L4="Not Electrifying",L4="Already Electrified"),"",INDEX($C$16:$Z$16,$I$4,5+($J$4-1)*6)),"")</f>
        <v/>
      </c>
      <c r="H4" s="48" t="str" cm="1">
        <f t="array" ref="H4">IFERROR(IF(OR(L4="Not Electrifying",L4="Already Electrified"),"",INDEX($C$16:$Z$16,$I$4,6+($J$4-1)*6)),"")</f>
        <v/>
      </c>
      <c r="I4" s="37" t="e">
        <f>MATCH(K4,lookup!C11,0)</f>
        <v>#N/A</v>
      </c>
      <c r="J4" s="37" t="e">
        <f>MATCH(L4,lookup!$D$11:$D$16,0)</f>
        <v>#N/A</v>
      </c>
      <c r="K4" s="37">
        <f>'Electrification Estimator'!G16</f>
        <v>0</v>
      </c>
      <c r="L4" s="37">
        <f>'Electrification Estimator'!G17</f>
        <v>0</v>
      </c>
      <c r="BR4" s="2"/>
    </row>
    <row r="5" spans="2:76" x14ac:dyDescent="0.25">
      <c r="B5" s="37" t="s">
        <v>3</v>
      </c>
      <c r="C5" s="36" t="str" cm="1">
        <f t="array" ref="C5">IFERROR(IF(OR(L5="Not Electrifying",L5="Already Electrified"),"",INDEX($C$21:$AX$32,$I$5,1+($J$5-1)*6)),"")</f>
        <v/>
      </c>
      <c r="D5" s="36" t="str" cm="1">
        <f t="array" ref="D5">IFERROR(IF(OR(L5="Not Electrifying",L5="Already Electrified"),"",INDEX($C$21:$AX$32,$I$5,2+($J$5-1)*6)),"")</f>
        <v/>
      </c>
      <c r="E5" s="48" t="str" cm="1">
        <f t="array" ref="E5">IFERROR(IF(OR(L5="Not Electrifying",L5="Already Electrified"),"",INDEX($C$21:$AX$32,$I$5,3+($J$5-1)*6)),"")</f>
        <v/>
      </c>
      <c r="F5" s="48" t="e" cm="1">
        <f t="array" ref="F5">-IFERROR(IF(OR(L5="Not Electrifying",L5="Already Electrified"),"",INDEX($C$21:$AX$32,$I$5,4+($J$5-1)*6)),"")</f>
        <v>#VALUE!</v>
      </c>
      <c r="G5" s="48" t="str" cm="1">
        <f t="array" ref="G5">IFERROR(IF(OR(L5="Not Electrifying",L5="Already Electrified"),"",INDEX($C$21:$AX$32,$I$5,5+($J$5-1)*6)),"")</f>
        <v/>
      </c>
      <c r="H5" s="48" t="str" cm="1">
        <f t="array" ref="H5">IFERROR(IF(OR(L5="Not Electrifying",L5="Already Electrified"),"",INDEX($C$21:$AX$32,$I$5,6+($J$5-1)*6)),"")</f>
        <v/>
      </c>
      <c r="I5" s="37" t="e">
        <f>MATCH(M5,$B$21:$B$32,0)</f>
        <v>#N/A</v>
      </c>
      <c r="J5" s="37" t="e">
        <f>MATCH(N5,$AZ$19:$AZ$27,0)</f>
        <v>#N/A</v>
      </c>
      <c r="K5" s="37">
        <f>'Electrification Estimator'!E16</f>
        <v>0</v>
      </c>
      <c r="L5" s="37" t="str">
        <f>'Electrification Estimator'!E17&amp;IF('Electrification Estimator'!D9="Single Family",", SFm",IF(OR('Electrification Estimator'!D9="Condo",'Electrification Estimator'!D9="Townhouse"),", MFm",""))</f>
        <v/>
      </c>
      <c r="M5" s="37" t="str">
        <f>'Electrification Estimator'!E16&amp;IF('Electrification Estimator'!D9="Single Family",", SFm",IF(OR('Electrification Estimator'!D9="Condo",'Electrification Estimator'!D9="Townhouse"),", MFm",""))</f>
        <v/>
      </c>
      <c r="N5" s="37" t="str">
        <f>'Electrification Estimator'!E17&amp;IF('Electrification Estimator'!D9="Single Family",", SFm",IF(OR('Electrification Estimator'!D9="Condo",'Electrification Estimator'!D9="Townhouse"),", MFm",""))</f>
        <v/>
      </c>
      <c r="BR5" s="2"/>
    </row>
    <row r="6" spans="2:76" x14ac:dyDescent="0.25">
      <c r="B6" s="37" t="s">
        <v>54</v>
      </c>
      <c r="C6" s="36" t="str" cm="1">
        <f t="array" ref="C6">IFERROR(IF(OR(L6="Not Electrifying",L6="Already Electrified"),"",INDEX($C$37:$CT$44,$I$6,1+($J$6-1)*6)),"")</f>
        <v/>
      </c>
      <c r="D6" s="36" t="str" cm="1">
        <f t="array" ref="D6">IFERROR(IF(OR(L6="Not Electrifying",L6="Already Electrified"),"",INDEX($C$37:$CT$44,$I$6,2+($J$6-1)*6)),"")</f>
        <v/>
      </c>
      <c r="E6" s="48" t="str" cm="1">
        <f t="array" ref="E6">IFERROR(IF(OR(L6="Not Electrifying",L6="Already Electrified"),"",INDEX($C$37:$CT$44,$I$6,3+($J$6-1)*6)),"")</f>
        <v/>
      </c>
      <c r="F6" s="48" t="e" cm="1">
        <f t="array" ref="F6">-IFERROR(IF(OR(L6="Not Electrifying",L6="Already Electrified"),"",INDEX($C$37:$CT$44,$I$6,4+($J$6-1)*6)),"")</f>
        <v>#VALUE!</v>
      </c>
      <c r="G6" s="48" t="str" cm="1">
        <f t="array" ref="G6">IFERROR(IF(OR(L6="Not Electrifying",L6="Already Electrified"),"",INDEX($C$37:$CT$44,$I$6,5+($J$6-1)*6)),"")</f>
        <v/>
      </c>
      <c r="H6" s="48" t="str" cm="1">
        <f t="array" ref="H6">IFERROR(IF(OR(L6="Not Electrifying",L6="Already Electrified"),"",INDEX($C$37:$CT$44,$I$6,6+($J$6-1)*6)),"")</f>
        <v/>
      </c>
      <c r="I6" s="37" t="e">
        <f>MATCH(M6,$B$37:$B$44,0)</f>
        <v>#N/A</v>
      </c>
      <c r="J6" s="37" t="e">
        <f>MATCH(N6,$CV$36:$CV$51,0)</f>
        <v>#N/A</v>
      </c>
      <c r="K6" s="37">
        <f>'Electrification Estimator'!D16</f>
        <v>0</v>
      </c>
      <c r="L6" s="37">
        <f>'Electrification Estimator'!D17</f>
        <v>0</v>
      </c>
      <c r="M6" s="37" t="str">
        <f>'Electrification Estimator'!D16&amp;IF('Electrification Estimator'!D9="Single Family",", SFm",IF(OR('Electrification Estimator'!D9="Condo",'Electrification Estimator'!D9="Townhouse"),", MFm",""))</f>
        <v/>
      </c>
      <c r="N6" s="37" t="str">
        <f>'Electrification Estimator'!D17&amp;IF('Electrification Estimator'!D9="Single Family",", SFm",IF(OR('Electrification Estimator'!D9="Condo",'Electrification Estimator'!D9="Townhouse"),", MFm",""))</f>
        <v/>
      </c>
      <c r="BR6" s="2"/>
    </row>
    <row r="7" spans="2:76" x14ac:dyDescent="0.25">
      <c r="BR7" s="2"/>
    </row>
    <row r="8" spans="2:76" x14ac:dyDescent="0.25">
      <c r="C8" s="38" t="s">
        <v>27</v>
      </c>
      <c r="D8" s="11"/>
      <c r="E8" s="12"/>
      <c r="F8" s="11"/>
      <c r="G8" s="11"/>
      <c r="H8" s="11"/>
      <c r="I8" s="38" t="s">
        <v>329</v>
      </c>
      <c r="J8" s="11"/>
      <c r="K8" s="12"/>
      <c r="L8" s="12"/>
      <c r="M8" s="12"/>
      <c r="N8" s="12"/>
      <c r="O8" s="38" t="s">
        <v>29</v>
      </c>
      <c r="P8" s="11"/>
      <c r="Q8" s="12"/>
      <c r="R8" s="12"/>
      <c r="S8" s="12"/>
      <c r="T8" s="12"/>
      <c r="U8" s="12" t="s">
        <v>30</v>
      </c>
      <c r="V8" s="28"/>
      <c r="W8" s="37"/>
      <c r="X8" s="38"/>
      <c r="Y8" s="38"/>
      <c r="Z8" s="38"/>
      <c r="AA8" s="38" t="s">
        <v>32</v>
      </c>
      <c r="AB8" s="11"/>
      <c r="AC8" s="12"/>
      <c r="AD8" s="37"/>
      <c r="AE8" s="37"/>
      <c r="AF8" s="37"/>
      <c r="BX8" s="2"/>
    </row>
    <row r="9" spans="2:76" x14ac:dyDescent="0.25">
      <c r="C9" s="35" t="s">
        <v>44</v>
      </c>
      <c r="D9" s="35" t="s">
        <v>45</v>
      </c>
      <c r="E9" s="35" t="s">
        <v>15</v>
      </c>
      <c r="F9" s="35" t="s">
        <v>174</v>
      </c>
      <c r="G9" s="35" t="s">
        <v>33</v>
      </c>
      <c r="H9" s="35" t="s">
        <v>34</v>
      </c>
      <c r="I9" s="35" t="s">
        <v>44</v>
      </c>
      <c r="J9" s="35" t="s">
        <v>45</v>
      </c>
      <c r="K9" s="35" t="s">
        <v>15</v>
      </c>
      <c r="L9" s="35" t="s">
        <v>174</v>
      </c>
      <c r="M9" s="35" t="s">
        <v>33</v>
      </c>
      <c r="N9" s="35" t="s">
        <v>34</v>
      </c>
      <c r="O9" s="35" t="s">
        <v>44</v>
      </c>
      <c r="P9" s="35" t="s">
        <v>45</v>
      </c>
      <c r="Q9" s="35" t="s">
        <v>15</v>
      </c>
      <c r="R9" s="35" t="s">
        <v>174</v>
      </c>
      <c r="S9" s="35" t="s">
        <v>33</v>
      </c>
      <c r="T9" s="35" t="s">
        <v>34</v>
      </c>
      <c r="U9" s="35" t="s">
        <v>44</v>
      </c>
      <c r="V9" s="35" t="s">
        <v>45</v>
      </c>
      <c r="W9" s="35" t="s">
        <v>15</v>
      </c>
      <c r="X9" s="35" t="s">
        <v>174</v>
      </c>
      <c r="Y9" s="35" t="s">
        <v>33</v>
      </c>
      <c r="Z9" s="35" t="s">
        <v>34</v>
      </c>
      <c r="AA9" s="35" t="s">
        <v>44</v>
      </c>
      <c r="AB9" s="35" t="s">
        <v>45</v>
      </c>
      <c r="AC9" s="35" t="s">
        <v>15</v>
      </c>
      <c r="AD9" s="35" t="s">
        <v>174</v>
      </c>
      <c r="AE9" s="35" t="s">
        <v>33</v>
      </c>
      <c r="AF9" s="35" t="s">
        <v>34</v>
      </c>
    </row>
    <row r="10" spans="2:76" x14ac:dyDescent="0.25">
      <c r="B10" s="37" t="s">
        <v>26</v>
      </c>
      <c r="C10" s="36">
        <v>0.46558966456968642</v>
      </c>
      <c r="D10" s="36">
        <v>7.6734845865362722E-3</v>
      </c>
      <c r="E10" s="48">
        <v>67.06894964</v>
      </c>
      <c r="F10" s="54">
        <v>-0.11540000000000106</v>
      </c>
      <c r="G10" s="48">
        <v>-89.9</v>
      </c>
      <c r="H10" s="48">
        <v>5.74</v>
      </c>
      <c r="I10" s="36">
        <v>0.39366124344947739</v>
      </c>
      <c r="J10" s="36">
        <v>-0.12588770380615477</v>
      </c>
      <c r="K10" s="48">
        <v>67.06894964</v>
      </c>
      <c r="L10" s="54">
        <v>1.8932000000000002</v>
      </c>
      <c r="M10" s="48">
        <v>-102</v>
      </c>
      <c r="N10" s="48">
        <v>5.74</v>
      </c>
      <c r="O10" s="36"/>
      <c r="P10" s="36"/>
      <c r="Q10" s="48"/>
      <c r="R10" s="48"/>
      <c r="S10" s="48"/>
      <c r="T10" s="48"/>
      <c r="U10" s="36"/>
      <c r="V10" s="36"/>
      <c r="W10" s="48"/>
      <c r="X10" s="48"/>
      <c r="Y10" s="48"/>
      <c r="Z10" s="48"/>
      <c r="AA10" s="36"/>
      <c r="AB10" s="36"/>
      <c r="AC10" s="48"/>
      <c r="AD10" s="48"/>
      <c r="AE10" s="48"/>
      <c r="AF10" s="48"/>
      <c r="BX10" s="3"/>
    </row>
    <row r="11" spans="2:76" x14ac:dyDescent="0.25">
      <c r="B11" s="37" t="s">
        <v>28</v>
      </c>
      <c r="C11" s="36"/>
      <c r="D11" s="36"/>
      <c r="E11" s="48"/>
      <c r="F11" s="48"/>
      <c r="G11" s="48"/>
      <c r="H11" s="48"/>
      <c r="I11" s="36"/>
      <c r="J11" s="36"/>
      <c r="K11" s="48"/>
      <c r="L11" s="54"/>
      <c r="M11" s="48"/>
      <c r="N11" s="48"/>
      <c r="O11" s="36">
        <v>0.42119804784633263</v>
      </c>
      <c r="P11" s="36">
        <v>2.1424360690020072E-2</v>
      </c>
      <c r="Q11" s="48">
        <v>167.0881498</v>
      </c>
      <c r="R11" s="54">
        <v>-0.99579999999999558</v>
      </c>
      <c r="S11" s="48">
        <v>-207</v>
      </c>
      <c r="T11" s="48">
        <v>14.3</v>
      </c>
      <c r="U11" s="36">
        <v>0.44865945433537524</v>
      </c>
      <c r="V11" s="36">
        <v>6.7853131898157892E-2</v>
      </c>
      <c r="W11" s="48">
        <v>167.0881498</v>
      </c>
      <c r="X11" s="54">
        <v>-3.1537999999999968</v>
      </c>
      <c r="Y11" s="48">
        <v>-219</v>
      </c>
      <c r="Z11" s="48">
        <v>14.3</v>
      </c>
      <c r="AA11" s="36"/>
      <c r="AB11" s="36"/>
      <c r="AC11" s="48"/>
      <c r="AD11" s="48"/>
      <c r="AE11" s="48"/>
      <c r="AF11" s="48"/>
    </row>
    <row r="12" spans="2:76" x14ac:dyDescent="0.25">
      <c r="B12" s="37" t="s">
        <v>31</v>
      </c>
      <c r="C12" s="36"/>
      <c r="D12" s="36"/>
      <c r="E12" s="48"/>
      <c r="F12" s="48"/>
      <c r="G12" s="48"/>
      <c r="H12" s="48"/>
      <c r="I12" s="36"/>
      <c r="J12" s="36"/>
      <c r="K12" s="48"/>
      <c r="L12" s="48"/>
      <c r="M12" s="48"/>
      <c r="N12" s="48"/>
      <c r="O12" s="36"/>
      <c r="P12" s="36"/>
      <c r="Q12" s="48"/>
      <c r="R12" s="48"/>
      <c r="S12" s="48"/>
      <c r="T12" s="48"/>
      <c r="U12" s="36"/>
      <c r="V12" s="36"/>
      <c r="W12" s="48"/>
      <c r="X12" s="48"/>
      <c r="Y12" s="48"/>
      <c r="Z12" s="48"/>
      <c r="AA12" s="36">
        <v>0.43907103420303084</v>
      </c>
      <c r="AB12" s="36">
        <v>9.5654377296338411E-2</v>
      </c>
      <c r="AC12" s="48">
        <v>100.60342445999999</v>
      </c>
      <c r="AD12" s="54">
        <v>-3.019999999999996</v>
      </c>
      <c r="AE12" s="48">
        <v>-117</v>
      </c>
      <c r="AF12" s="48">
        <v>8.61</v>
      </c>
    </row>
    <row r="14" spans="2:76" x14ac:dyDescent="0.25">
      <c r="C14" s="38" t="s">
        <v>182</v>
      </c>
      <c r="D14" s="11"/>
      <c r="E14" s="12"/>
      <c r="F14" s="11"/>
      <c r="G14" s="11"/>
      <c r="H14" s="11"/>
      <c r="I14" s="38" t="s">
        <v>181</v>
      </c>
      <c r="J14" s="11"/>
      <c r="K14" s="12"/>
      <c r="L14" s="12"/>
      <c r="M14" s="12"/>
      <c r="N14" s="12"/>
      <c r="O14" s="12" t="s">
        <v>178</v>
      </c>
      <c r="P14" s="28"/>
      <c r="Q14" s="37"/>
      <c r="R14" s="38"/>
      <c r="S14" s="38"/>
      <c r="T14" s="38"/>
      <c r="U14" s="38" t="s">
        <v>180</v>
      </c>
      <c r="V14" s="11"/>
      <c r="W14" s="12"/>
      <c r="X14" s="11"/>
      <c r="Y14" s="11"/>
      <c r="Z14" s="11"/>
    </row>
    <row r="15" spans="2:76" x14ac:dyDescent="0.25">
      <c r="C15" s="39" t="s">
        <v>44</v>
      </c>
      <c r="D15" s="39" t="s">
        <v>45</v>
      </c>
      <c r="E15" s="39" t="s">
        <v>15</v>
      </c>
      <c r="F15" s="35" t="s">
        <v>174</v>
      </c>
      <c r="G15" s="35" t="s">
        <v>33</v>
      </c>
      <c r="H15" s="35" t="s">
        <v>34</v>
      </c>
      <c r="I15" s="39" t="s">
        <v>44</v>
      </c>
      <c r="J15" s="39" t="s">
        <v>45</v>
      </c>
      <c r="K15" s="39" t="s">
        <v>15</v>
      </c>
      <c r="L15" s="35" t="s">
        <v>174</v>
      </c>
      <c r="M15" s="35" t="s">
        <v>33</v>
      </c>
      <c r="N15" s="35" t="s">
        <v>34</v>
      </c>
      <c r="O15" s="39" t="s">
        <v>44</v>
      </c>
      <c r="P15" s="39" t="s">
        <v>45</v>
      </c>
      <c r="Q15" s="39" t="s">
        <v>15</v>
      </c>
      <c r="R15" s="35" t="s">
        <v>174</v>
      </c>
      <c r="S15" s="35" t="s">
        <v>33</v>
      </c>
      <c r="T15" s="35" t="s">
        <v>34</v>
      </c>
      <c r="U15" s="39" t="s">
        <v>44</v>
      </c>
      <c r="V15" s="39" t="s">
        <v>45</v>
      </c>
      <c r="W15" s="39" t="s">
        <v>15</v>
      </c>
      <c r="X15" s="35" t="s">
        <v>174</v>
      </c>
      <c r="Y15" s="35" t="s">
        <v>33</v>
      </c>
      <c r="Z15" s="35" t="s">
        <v>34</v>
      </c>
    </row>
    <row r="16" spans="2:76" x14ac:dyDescent="0.25">
      <c r="B16" s="37" t="s">
        <v>23</v>
      </c>
      <c r="C16" s="36">
        <v>0.36598910595740575</v>
      </c>
      <c r="D16" s="36">
        <v>-0.23742578693850103</v>
      </c>
      <c r="E16" s="48">
        <v>152.59938716000002</v>
      </c>
      <c r="F16" s="54">
        <v>8.4779999999999944</v>
      </c>
      <c r="G16" s="48">
        <v>-257</v>
      </c>
      <c r="H16" s="48">
        <v>13.1</v>
      </c>
      <c r="I16" s="36">
        <v>0.37696791155363962</v>
      </c>
      <c r="J16" s="36">
        <v>-8.3086069829596765E-2</v>
      </c>
      <c r="K16" s="48">
        <v>175.51266420600001</v>
      </c>
      <c r="L16" s="54">
        <v>3.9045800000000028</v>
      </c>
      <c r="M16" s="48">
        <v>-49.4</v>
      </c>
      <c r="N16" s="48">
        <v>14.5</v>
      </c>
      <c r="O16" s="36">
        <v>0.78854566810612092</v>
      </c>
      <c r="P16" s="36">
        <v>0.58670886075949369</v>
      </c>
      <c r="Q16" s="48">
        <v>124.67346562000002</v>
      </c>
      <c r="R16" s="54">
        <v>-20.950200000000002</v>
      </c>
      <c r="S16" s="48">
        <v>-42.6</v>
      </c>
      <c r="T16" s="48">
        <v>10.7</v>
      </c>
      <c r="U16" s="36">
        <v>0.79032647448146809</v>
      </c>
      <c r="V16" s="36">
        <v>0.63553189316173841</v>
      </c>
      <c r="W16" s="48">
        <v>169.91579541199999</v>
      </c>
      <c r="X16" s="54">
        <v>-29.866439999999997</v>
      </c>
      <c r="Y16" s="48">
        <v>-261</v>
      </c>
      <c r="Z16" s="48">
        <v>15</v>
      </c>
      <c r="BT16" s="27"/>
    </row>
    <row r="17" spans="1:52" x14ac:dyDescent="0.25">
      <c r="C17" s="40"/>
      <c r="D17" s="40"/>
      <c r="E17" s="49"/>
      <c r="F17" s="49"/>
      <c r="G17" s="49"/>
      <c r="H17" s="49"/>
      <c r="I17" s="40"/>
      <c r="J17" s="40"/>
      <c r="K17" s="49"/>
      <c r="L17" s="49"/>
      <c r="M17" s="49"/>
      <c r="N17" s="49"/>
      <c r="O17" s="40"/>
      <c r="P17" s="40"/>
      <c r="Q17" s="49"/>
      <c r="R17" s="49"/>
      <c r="S17" s="49"/>
      <c r="T17" s="49"/>
      <c r="U17" s="40"/>
      <c r="V17" s="40"/>
      <c r="W17" s="49"/>
      <c r="X17" s="49"/>
      <c r="Y17" s="49"/>
      <c r="Z17" s="49"/>
      <c r="AA17" s="40"/>
      <c r="AB17" s="40"/>
      <c r="AC17" s="49"/>
      <c r="AD17" s="49"/>
      <c r="AE17" s="49"/>
      <c r="AF17" s="49"/>
      <c r="AG17" s="40"/>
      <c r="AH17" s="40"/>
      <c r="AI17" s="49"/>
      <c r="AJ17" s="49"/>
      <c r="AK17" s="49"/>
      <c r="AL17" s="49"/>
    </row>
    <row r="18" spans="1:52" x14ac:dyDescent="0.25">
      <c r="C18" t="s">
        <v>48</v>
      </c>
      <c r="AA18" t="s">
        <v>47</v>
      </c>
    </row>
    <row r="19" spans="1:52" x14ac:dyDescent="0.25">
      <c r="C19" s="56" t="s">
        <v>265</v>
      </c>
      <c r="D19" s="11"/>
      <c r="E19" s="12"/>
      <c r="F19" s="11"/>
      <c r="G19" s="11"/>
      <c r="H19" s="11"/>
      <c r="I19" s="56" t="s">
        <v>267</v>
      </c>
      <c r="J19" s="28"/>
      <c r="K19" s="37"/>
      <c r="L19" s="38"/>
      <c r="M19" s="38"/>
      <c r="N19" s="38"/>
      <c r="O19" s="56" t="s">
        <v>269</v>
      </c>
      <c r="P19" s="11"/>
      <c r="Q19" s="12"/>
      <c r="R19" s="11"/>
      <c r="S19" s="11"/>
      <c r="T19" s="11"/>
      <c r="U19" s="56" t="s">
        <v>270</v>
      </c>
      <c r="V19" s="11"/>
      <c r="W19" s="12"/>
      <c r="X19" s="11"/>
      <c r="Y19" s="11"/>
      <c r="Z19" s="11"/>
      <c r="AA19" s="56" t="s">
        <v>264</v>
      </c>
      <c r="AB19" s="11"/>
      <c r="AC19" s="12"/>
      <c r="AD19" s="11"/>
      <c r="AE19" s="11"/>
      <c r="AF19" s="11"/>
      <c r="AG19" s="56" t="s">
        <v>266</v>
      </c>
      <c r="AH19" s="28"/>
      <c r="AI19" s="37"/>
      <c r="AJ19" s="38"/>
      <c r="AK19" s="38"/>
      <c r="AL19" s="38"/>
      <c r="AM19" s="56" t="s">
        <v>268</v>
      </c>
      <c r="AN19" s="11"/>
      <c r="AO19" s="12"/>
      <c r="AP19" s="11"/>
      <c r="AQ19" s="11"/>
      <c r="AR19" s="11"/>
      <c r="AS19" s="56" t="s">
        <v>271</v>
      </c>
      <c r="AT19" s="11"/>
      <c r="AU19" s="12"/>
      <c r="AV19" s="37"/>
      <c r="AW19" s="37"/>
      <c r="AX19" s="37"/>
      <c r="AZ19" s="37" t="s">
        <v>206</v>
      </c>
    </row>
    <row r="20" spans="1:52" x14ac:dyDescent="0.25">
      <c r="C20" s="39" t="s">
        <v>44</v>
      </c>
      <c r="D20" s="39" t="s">
        <v>45</v>
      </c>
      <c r="E20" s="39" t="s">
        <v>15</v>
      </c>
      <c r="F20" s="35" t="s">
        <v>174</v>
      </c>
      <c r="G20" s="35" t="s">
        <v>33</v>
      </c>
      <c r="H20" s="35" t="s">
        <v>34</v>
      </c>
      <c r="I20" s="39" t="s">
        <v>44</v>
      </c>
      <c r="J20" s="39" t="s">
        <v>45</v>
      </c>
      <c r="K20" s="39" t="s">
        <v>15</v>
      </c>
      <c r="L20" s="35" t="s">
        <v>174</v>
      </c>
      <c r="M20" s="35" t="s">
        <v>33</v>
      </c>
      <c r="N20" s="35" t="s">
        <v>34</v>
      </c>
      <c r="O20" s="39" t="s">
        <v>44</v>
      </c>
      <c r="P20" s="39" t="s">
        <v>45</v>
      </c>
      <c r="Q20" s="39" t="s">
        <v>15</v>
      </c>
      <c r="R20" s="35" t="s">
        <v>174</v>
      </c>
      <c r="S20" s="35" t="s">
        <v>33</v>
      </c>
      <c r="T20" s="35" t="s">
        <v>34</v>
      </c>
      <c r="U20" s="39" t="s">
        <v>44</v>
      </c>
      <c r="V20" s="39" t="s">
        <v>45</v>
      </c>
      <c r="W20" s="39" t="s">
        <v>15</v>
      </c>
      <c r="X20" s="35" t="s">
        <v>174</v>
      </c>
      <c r="Y20" s="35" t="s">
        <v>33</v>
      </c>
      <c r="Z20" s="35" t="s">
        <v>34</v>
      </c>
      <c r="AA20" s="39" t="s">
        <v>44</v>
      </c>
      <c r="AB20" s="39" t="s">
        <v>45</v>
      </c>
      <c r="AC20" s="39" t="s">
        <v>15</v>
      </c>
      <c r="AD20" s="35" t="s">
        <v>174</v>
      </c>
      <c r="AE20" s="35" t="s">
        <v>33</v>
      </c>
      <c r="AF20" s="35" t="s">
        <v>34</v>
      </c>
      <c r="AG20" s="39" t="s">
        <v>44</v>
      </c>
      <c r="AH20" s="39" t="s">
        <v>45</v>
      </c>
      <c r="AI20" s="39" t="s">
        <v>15</v>
      </c>
      <c r="AJ20" s="35" t="s">
        <v>174</v>
      </c>
      <c r="AK20" s="35" t="s">
        <v>33</v>
      </c>
      <c r="AL20" s="35" t="s">
        <v>34</v>
      </c>
      <c r="AM20" s="39" t="s">
        <v>44</v>
      </c>
      <c r="AN20" s="39" t="s">
        <v>45</v>
      </c>
      <c r="AO20" s="39" t="s">
        <v>15</v>
      </c>
      <c r="AP20" s="35" t="s">
        <v>174</v>
      </c>
      <c r="AQ20" s="35" t="s">
        <v>33</v>
      </c>
      <c r="AR20" s="35" t="s">
        <v>34</v>
      </c>
      <c r="AS20" s="39" t="s">
        <v>44</v>
      </c>
      <c r="AT20" s="39" t="s">
        <v>45</v>
      </c>
      <c r="AU20" s="39" t="s">
        <v>15</v>
      </c>
      <c r="AV20" s="35" t="s">
        <v>174</v>
      </c>
      <c r="AW20" s="35" t="s">
        <v>33</v>
      </c>
      <c r="AX20" s="35" t="s">
        <v>34</v>
      </c>
      <c r="AZ20" s="37" t="s">
        <v>205</v>
      </c>
    </row>
    <row r="21" spans="1:52" x14ac:dyDescent="0.25">
      <c r="A21" t="s">
        <v>48</v>
      </c>
      <c r="B21" s="37" t="s">
        <v>183</v>
      </c>
      <c r="C21" s="36">
        <v>0.55410656575516226</v>
      </c>
      <c r="D21" s="36">
        <v>0.17203719966673414</v>
      </c>
      <c r="E21" s="72">
        <v>1320.346918</v>
      </c>
      <c r="F21" s="54">
        <v>-50.933333333333309</v>
      </c>
      <c r="G21" s="48">
        <v>-1476.6666666666667</v>
      </c>
      <c r="H21" s="48">
        <v>113</v>
      </c>
      <c r="I21" s="131">
        <v>0.55863595729940996</v>
      </c>
      <c r="J21" s="36">
        <v>0.18044765700646259</v>
      </c>
      <c r="K21" s="72">
        <v>1320.346918</v>
      </c>
      <c r="L21" s="54">
        <v>-53.423333333333318</v>
      </c>
      <c r="M21" s="48">
        <v>-1461.6666666666667</v>
      </c>
      <c r="N21" s="48">
        <v>113</v>
      </c>
      <c r="O21" s="131">
        <v>0.56417188029793519</v>
      </c>
      <c r="P21" s="36">
        <v>0.19072710486613076</v>
      </c>
      <c r="Q21" s="72">
        <v>1320.346918</v>
      </c>
      <c r="R21" s="54">
        <v>-56.466666666666669</v>
      </c>
      <c r="S21" s="48">
        <v>-1443.3333333333333</v>
      </c>
      <c r="T21" s="48">
        <v>113</v>
      </c>
      <c r="U21" s="131">
        <v>0.57524372629498521</v>
      </c>
      <c r="V21" s="36">
        <v>0.21128600058546687</v>
      </c>
      <c r="W21" s="72">
        <v>1320.346918</v>
      </c>
      <c r="X21" s="54">
        <v>-62.553333333333313</v>
      </c>
      <c r="Y21" s="48">
        <v>-1406.6666666666667</v>
      </c>
      <c r="Z21" s="48">
        <v>113</v>
      </c>
      <c r="AA21" s="129"/>
      <c r="AB21" s="129"/>
      <c r="AC21" s="130"/>
      <c r="AD21" s="130"/>
      <c r="AE21" s="130"/>
      <c r="AF21" s="130"/>
      <c r="AG21" s="129"/>
      <c r="AH21" s="129"/>
      <c r="AI21" s="130"/>
      <c r="AJ21" s="130"/>
      <c r="AK21" s="130"/>
      <c r="AL21" s="130"/>
      <c r="AM21" s="129"/>
      <c r="AN21" s="129"/>
      <c r="AO21" s="130"/>
      <c r="AP21" s="130"/>
      <c r="AQ21" s="130"/>
      <c r="AR21" s="130"/>
      <c r="AS21" s="129"/>
      <c r="AT21" s="129"/>
      <c r="AU21" s="130"/>
      <c r="AV21" s="130"/>
      <c r="AW21" s="130"/>
      <c r="AX21" s="130"/>
      <c r="AZ21" s="37" t="s">
        <v>207</v>
      </c>
    </row>
    <row r="22" spans="1:52" x14ac:dyDescent="0.25">
      <c r="B22" s="37" t="s">
        <v>195</v>
      </c>
      <c r="C22" s="36">
        <v>0.72466689579417121</v>
      </c>
      <c r="D22" s="36">
        <v>0.48874428176142604</v>
      </c>
      <c r="E22" s="72">
        <v>2138.2609379999999</v>
      </c>
      <c r="F22" s="54">
        <v>-234.33333333333334</v>
      </c>
      <c r="G22" s="48">
        <v>-1476.6666666666667</v>
      </c>
      <c r="H22" s="48">
        <v>183</v>
      </c>
      <c r="I22" s="131">
        <v>0.72746373319581048</v>
      </c>
      <c r="J22" s="36">
        <v>0.49393762427175014</v>
      </c>
      <c r="K22" s="72">
        <v>2138.2609379999999</v>
      </c>
      <c r="L22" s="54">
        <v>-236.82333333333335</v>
      </c>
      <c r="M22" s="48">
        <v>-1461.6666666666667</v>
      </c>
      <c r="N22" s="48">
        <v>183</v>
      </c>
      <c r="O22" s="131">
        <v>0.73088209002003646</v>
      </c>
      <c r="P22" s="36">
        <v>0.5002850428954797</v>
      </c>
      <c r="Q22" s="72">
        <v>2138.2609379999999</v>
      </c>
      <c r="R22" s="54">
        <v>-239.8666666666667</v>
      </c>
      <c r="S22" s="48">
        <v>-1443.3333333333333</v>
      </c>
      <c r="T22" s="48">
        <v>183</v>
      </c>
      <c r="U22" s="131">
        <v>0.73771880366848819</v>
      </c>
      <c r="V22" s="36">
        <v>0.5129798801429386</v>
      </c>
      <c r="W22" s="72">
        <v>2138.2609379999999</v>
      </c>
      <c r="X22" s="54">
        <v>-245.95333333333335</v>
      </c>
      <c r="Y22" s="48">
        <v>-1406.6666666666667</v>
      </c>
      <c r="Z22" s="48">
        <v>183</v>
      </c>
      <c r="AA22" s="129"/>
      <c r="AB22" s="129"/>
      <c r="AC22" s="130"/>
      <c r="AD22" s="130"/>
      <c r="AE22" s="130"/>
      <c r="AF22" s="130"/>
      <c r="AG22" s="129"/>
      <c r="AH22" s="129"/>
      <c r="AI22" s="130"/>
      <c r="AJ22" s="130"/>
      <c r="AK22" s="130"/>
      <c r="AL22" s="130"/>
      <c r="AM22" s="129"/>
      <c r="AN22" s="129"/>
      <c r="AO22" s="130"/>
      <c r="AP22" s="130"/>
      <c r="AQ22" s="130"/>
      <c r="AR22" s="130"/>
      <c r="AS22" s="129"/>
      <c r="AT22" s="129"/>
      <c r="AU22" s="130"/>
      <c r="AV22" s="130"/>
      <c r="AW22" s="130"/>
      <c r="AX22" s="130"/>
      <c r="AZ22" s="37" t="s">
        <v>208</v>
      </c>
    </row>
    <row r="23" spans="1:52" x14ac:dyDescent="0.25">
      <c r="B23" s="37" t="s">
        <v>196</v>
      </c>
      <c r="C23" s="36">
        <v>0.73198958473581555</v>
      </c>
      <c r="D23" s="36">
        <v>0.5023415083103242</v>
      </c>
      <c r="E23" s="72">
        <v>2196.683368</v>
      </c>
      <c r="F23" s="54">
        <v>-247.43333333333331</v>
      </c>
      <c r="G23" s="48">
        <v>-1476.6666666666667</v>
      </c>
      <c r="H23" s="48">
        <v>188</v>
      </c>
      <c r="I23" s="131">
        <v>0.7347120381640071</v>
      </c>
      <c r="J23" s="36">
        <v>0.5073967300092036</v>
      </c>
      <c r="K23" s="72">
        <v>2196.683368</v>
      </c>
      <c r="L23" s="54">
        <v>-249.92333333333332</v>
      </c>
      <c r="M23" s="48">
        <v>-1461.6666666666667</v>
      </c>
      <c r="N23" s="48">
        <v>188</v>
      </c>
      <c r="O23" s="131">
        <v>0.73803948124290786</v>
      </c>
      <c r="P23" s="36">
        <v>0.51357533430783397</v>
      </c>
      <c r="Q23" s="72">
        <v>2196.683368</v>
      </c>
      <c r="R23" s="54">
        <v>-252.96666666666667</v>
      </c>
      <c r="S23" s="48">
        <v>-1443.3333333333333</v>
      </c>
      <c r="T23" s="48">
        <v>188</v>
      </c>
      <c r="U23" s="131">
        <v>0.74469436740070916</v>
      </c>
      <c r="V23" s="36">
        <v>0.5259325429050945</v>
      </c>
      <c r="W23" s="72">
        <v>2196.683368</v>
      </c>
      <c r="X23" s="54">
        <v>-259.05333333333328</v>
      </c>
      <c r="Y23" s="48">
        <v>-1406.6666666666667</v>
      </c>
      <c r="Z23" s="48">
        <v>188</v>
      </c>
      <c r="AA23" s="129"/>
      <c r="AB23" s="129"/>
      <c r="AC23" s="130"/>
      <c r="AD23" s="130"/>
      <c r="AE23" s="130"/>
      <c r="AF23" s="130"/>
      <c r="AG23" s="129"/>
      <c r="AH23" s="129"/>
      <c r="AI23" s="130"/>
      <c r="AJ23" s="130"/>
      <c r="AK23" s="130"/>
      <c r="AL23" s="130"/>
      <c r="AM23" s="129"/>
      <c r="AN23" s="129"/>
      <c r="AO23" s="130"/>
      <c r="AP23" s="130"/>
      <c r="AQ23" s="130"/>
      <c r="AR23" s="130"/>
      <c r="AS23" s="129"/>
      <c r="AT23" s="129"/>
      <c r="AU23" s="130"/>
      <c r="AV23" s="130"/>
      <c r="AW23" s="130"/>
      <c r="AX23" s="130"/>
      <c r="AZ23" s="37" t="s">
        <v>210</v>
      </c>
    </row>
    <row r="24" spans="1:52" x14ac:dyDescent="0.25">
      <c r="B24" s="37" t="s">
        <v>197</v>
      </c>
      <c r="C24" s="36">
        <v>0.75056456401155114</v>
      </c>
      <c r="D24" s="36">
        <v>0.54153755070163501</v>
      </c>
      <c r="E24" s="72">
        <v>2360.2661720000001</v>
      </c>
      <c r="F24" s="54">
        <v>-284.11333333333334</v>
      </c>
      <c r="G24" s="48">
        <v>-1476.6666666666667</v>
      </c>
      <c r="H24" s="48">
        <v>202</v>
      </c>
      <c r="I24" s="131">
        <v>0.75309833254867986</v>
      </c>
      <c r="J24" s="36">
        <v>0.54153755070163501</v>
      </c>
      <c r="K24" s="72">
        <v>2360.2661720000001</v>
      </c>
      <c r="L24" s="54">
        <v>-286.60333333333335</v>
      </c>
      <c r="M24" s="48">
        <v>-1461.6666666666667</v>
      </c>
      <c r="N24" s="48">
        <v>202</v>
      </c>
      <c r="O24" s="131">
        <v>0.75619516076072613</v>
      </c>
      <c r="P24" s="36">
        <v>0.54728793490036032</v>
      </c>
      <c r="Q24" s="72">
        <v>2360.2661720000001</v>
      </c>
      <c r="R24" s="54">
        <v>-289.64666666666665</v>
      </c>
      <c r="S24" s="48">
        <v>-1443.3333333333333</v>
      </c>
      <c r="T24" s="48">
        <v>202</v>
      </c>
      <c r="U24" s="131">
        <v>0.76238881718481855</v>
      </c>
      <c r="V24" s="36">
        <v>0.55878870329781072</v>
      </c>
      <c r="W24" s="72">
        <v>2360.2661720000001</v>
      </c>
      <c r="X24" s="54">
        <v>-295.73333333333335</v>
      </c>
      <c r="Y24" s="48">
        <v>-1406.6666666666667</v>
      </c>
      <c r="Z24" s="48">
        <v>202</v>
      </c>
      <c r="AA24" s="129"/>
      <c r="AB24" s="129"/>
      <c r="AC24" s="130"/>
      <c r="AD24" s="130"/>
      <c r="AE24" s="130"/>
      <c r="AF24" s="130"/>
      <c r="AG24" s="129"/>
      <c r="AH24" s="129"/>
      <c r="AI24" s="130"/>
      <c r="AJ24" s="130"/>
      <c r="AK24" s="130"/>
      <c r="AL24" s="130"/>
      <c r="AM24" s="129"/>
      <c r="AN24" s="129"/>
      <c r="AO24" s="130"/>
      <c r="AP24" s="130"/>
      <c r="AQ24" s="130"/>
      <c r="AR24" s="130"/>
      <c r="AS24" s="129"/>
      <c r="AT24" s="129"/>
      <c r="AU24" s="130"/>
      <c r="AV24" s="130"/>
      <c r="AW24" s="130"/>
      <c r="AX24" s="130"/>
      <c r="AZ24" s="37" t="s">
        <v>209</v>
      </c>
    </row>
    <row r="25" spans="1:52" x14ac:dyDescent="0.25">
      <c r="B25" s="37" t="s">
        <v>198</v>
      </c>
      <c r="C25" s="36">
        <v>0.76455159780529591</v>
      </c>
      <c r="D25" s="36">
        <v>0.56280468954364937</v>
      </c>
      <c r="E25" s="72">
        <v>2500.480004</v>
      </c>
      <c r="F25" s="54">
        <v>-315.5533333333334</v>
      </c>
      <c r="G25" s="48">
        <v>-1476.6666666666667</v>
      </c>
      <c r="H25" s="48">
        <v>214</v>
      </c>
      <c r="I25" s="131">
        <v>0.76694328586370708</v>
      </c>
      <c r="J25" s="36">
        <v>0.56724572542864626</v>
      </c>
      <c r="K25" s="72">
        <v>2500.480004</v>
      </c>
      <c r="L25" s="54">
        <v>-318.04333333333341</v>
      </c>
      <c r="M25" s="48">
        <v>-1461.6666666666667</v>
      </c>
      <c r="N25" s="48">
        <v>214</v>
      </c>
      <c r="O25" s="131">
        <v>0.76986646015732085</v>
      </c>
      <c r="P25" s="36">
        <v>0.57267365817697558</v>
      </c>
      <c r="Q25" s="72">
        <v>2500.480004</v>
      </c>
      <c r="R25" s="54">
        <v>-321.0866666666667</v>
      </c>
      <c r="S25" s="48">
        <v>-1443.3333333333333</v>
      </c>
      <c r="T25" s="48">
        <v>214</v>
      </c>
      <c r="U25" s="131">
        <v>0.77571280874454829</v>
      </c>
      <c r="V25" s="36">
        <v>0.58352952367363442</v>
      </c>
      <c r="W25" s="72">
        <v>2500.480004</v>
      </c>
      <c r="X25" s="54">
        <v>-327.1733333333334</v>
      </c>
      <c r="Y25" s="48">
        <v>-1406.6666666666667</v>
      </c>
      <c r="Z25" s="48">
        <v>214</v>
      </c>
      <c r="AA25" s="129"/>
      <c r="AB25" s="129"/>
      <c r="AC25" s="130"/>
      <c r="AD25" s="130"/>
      <c r="AE25" s="130"/>
      <c r="AF25" s="130"/>
      <c r="AG25" s="129"/>
      <c r="AH25" s="129"/>
      <c r="AI25" s="130"/>
      <c r="AJ25" s="130"/>
      <c r="AK25" s="130"/>
      <c r="AL25" s="130"/>
      <c r="AM25" s="129"/>
      <c r="AN25" s="129"/>
      <c r="AO25" s="130"/>
      <c r="AP25" s="130"/>
      <c r="AQ25" s="130"/>
      <c r="AR25" s="130"/>
      <c r="AS25" s="129"/>
      <c r="AT25" s="129"/>
      <c r="AU25" s="130"/>
      <c r="AV25" s="130"/>
      <c r="AW25" s="130"/>
      <c r="AX25" s="130"/>
      <c r="AZ25" s="37" t="s">
        <v>211</v>
      </c>
    </row>
    <row r="26" spans="1:52" x14ac:dyDescent="0.25">
      <c r="B26" s="37" t="s">
        <v>199</v>
      </c>
      <c r="C26" s="36">
        <v>0.76120399019115326</v>
      </c>
      <c r="D26" s="36">
        <v>0.55658864247554962</v>
      </c>
      <c r="E26" s="72">
        <v>2465.4265460000001</v>
      </c>
      <c r="F26" s="54">
        <v>-307.69333333333338</v>
      </c>
      <c r="G26" s="48">
        <v>-1476.6666666666667</v>
      </c>
      <c r="H26" s="48">
        <v>211</v>
      </c>
      <c r="I26" s="131">
        <v>0.76362968329304892</v>
      </c>
      <c r="J26" s="36">
        <v>0.56109282105085434</v>
      </c>
      <c r="K26" s="72">
        <v>2465.4265460000001</v>
      </c>
      <c r="L26" s="54">
        <v>-310.18333333333339</v>
      </c>
      <c r="M26" s="48">
        <v>-1461.6666666666667</v>
      </c>
      <c r="N26" s="48">
        <v>211</v>
      </c>
      <c r="O26" s="131">
        <v>0.76659441930647709</v>
      </c>
      <c r="P26" s="36">
        <v>0.56659792819844923</v>
      </c>
      <c r="Q26" s="72">
        <v>2465.4265460000001</v>
      </c>
      <c r="R26" s="54">
        <v>-313.22666666666669</v>
      </c>
      <c r="S26" s="48">
        <v>-1443.3333333333333</v>
      </c>
      <c r="T26" s="48">
        <v>211</v>
      </c>
      <c r="U26" s="131">
        <v>0.77252389133333332</v>
      </c>
      <c r="V26" s="36">
        <v>0.57760814249363868</v>
      </c>
      <c r="W26" s="72">
        <v>2465.4265460000001</v>
      </c>
      <c r="X26" s="54">
        <v>-319.31333333333339</v>
      </c>
      <c r="Y26" s="48">
        <v>-1406.6666666666667</v>
      </c>
      <c r="Z26" s="48">
        <v>211</v>
      </c>
      <c r="AA26" s="129"/>
      <c r="AB26" s="129"/>
      <c r="AC26" s="130"/>
      <c r="AD26" s="130"/>
      <c r="AE26" s="130"/>
      <c r="AF26" s="130"/>
      <c r="AG26" s="129"/>
      <c r="AH26" s="129"/>
      <c r="AI26" s="130"/>
      <c r="AJ26" s="130"/>
      <c r="AK26" s="130"/>
      <c r="AL26" s="130"/>
      <c r="AM26" s="129"/>
      <c r="AN26" s="129"/>
      <c r="AO26" s="130"/>
      <c r="AP26" s="130"/>
      <c r="AQ26" s="130"/>
      <c r="AR26" s="130"/>
      <c r="AS26" s="129"/>
      <c r="AT26" s="129"/>
      <c r="AU26" s="130"/>
      <c r="AV26" s="130"/>
      <c r="AW26" s="130"/>
      <c r="AX26" s="130"/>
      <c r="AZ26" s="37" t="s">
        <v>212</v>
      </c>
    </row>
    <row r="27" spans="1:52" x14ac:dyDescent="0.25">
      <c r="A27" t="s">
        <v>47</v>
      </c>
      <c r="B27" s="37" t="s">
        <v>184</v>
      </c>
      <c r="C27" s="129"/>
      <c r="D27" s="129"/>
      <c r="E27" s="130"/>
      <c r="F27" s="130"/>
      <c r="G27" s="130"/>
      <c r="H27" s="130"/>
      <c r="I27" s="129"/>
      <c r="J27" s="129"/>
      <c r="K27" s="130"/>
      <c r="L27" s="130"/>
      <c r="M27" s="130"/>
      <c r="N27" s="130"/>
      <c r="O27" s="129"/>
      <c r="P27" s="129"/>
      <c r="Q27" s="130"/>
      <c r="R27" s="130"/>
      <c r="S27" s="130"/>
      <c r="T27" s="130"/>
      <c r="U27" s="129"/>
      <c r="V27" s="129"/>
      <c r="W27" s="130"/>
      <c r="X27" s="130"/>
      <c r="Y27" s="130"/>
      <c r="Z27" s="130"/>
      <c r="AA27" s="131">
        <v>0.6152977574019608</v>
      </c>
      <c r="AB27" s="36">
        <v>0.28566082921718305</v>
      </c>
      <c r="AC27" s="72">
        <v>1191.8175719999999</v>
      </c>
      <c r="AD27" s="54">
        <v>-76.34</v>
      </c>
      <c r="AE27" s="48">
        <v>-1150</v>
      </c>
      <c r="AF27" s="48">
        <v>102</v>
      </c>
      <c r="AG27" s="131">
        <v>0.61808545481209154</v>
      </c>
      <c r="AH27" s="36">
        <v>0.29083720001995705</v>
      </c>
      <c r="AI27" s="72">
        <v>1191.8175719999999</v>
      </c>
      <c r="AJ27" s="54">
        <v>-77.723333333333329</v>
      </c>
      <c r="AK27" s="48">
        <v>-1141.6666666666667</v>
      </c>
      <c r="AL27" s="48">
        <v>102</v>
      </c>
      <c r="AM27" s="131">
        <v>0.62533346807843149</v>
      </c>
      <c r="AN27" s="36">
        <v>0.30429576410716952</v>
      </c>
      <c r="AO27" s="72">
        <v>1191.8175719999999</v>
      </c>
      <c r="AP27" s="54">
        <v>-81.319999999999993</v>
      </c>
      <c r="AQ27" s="48">
        <v>-1120</v>
      </c>
      <c r="AR27" s="48">
        <v>102</v>
      </c>
      <c r="AS27" s="131">
        <v>0.63280449713758169</v>
      </c>
      <c r="AT27" s="36">
        <v>0.31816843785860394</v>
      </c>
      <c r="AU27" s="72">
        <v>1191.8175719999999</v>
      </c>
      <c r="AV27" s="54">
        <v>-85.027333333333331</v>
      </c>
      <c r="AW27" s="48">
        <v>-1097.6666666666667</v>
      </c>
      <c r="AX27" s="48">
        <v>102</v>
      </c>
      <c r="AZ27" s="38" t="s">
        <v>21</v>
      </c>
    </row>
    <row r="28" spans="1:52" x14ac:dyDescent="0.25">
      <c r="B28" s="37" t="s">
        <v>200</v>
      </c>
      <c r="C28" s="129"/>
      <c r="D28" s="129"/>
      <c r="E28" s="130"/>
      <c r="F28" s="130"/>
      <c r="G28" s="130"/>
      <c r="H28" s="130"/>
      <c r="I28" s="129"/>
      <c r="J28" s="129"/>
      <c r="K28" s="130"/>
      <c r="L28" s="130"/>
      <c r="M28" s="130"/>
      <c r="N28" s="130"/>
      <c r="O28" s="129"/>
      <c r="P28" s="129"/>
      <c r="Q28" s="130"/>
      <c r="R28" s="130"/>
      <c r="S28" s="130"/>
      <c r="T28" s="130"/>
      <c r="U28" s="129"/>
      <c r="V28" s="129"/>
      <c r="W28" s="130"/>
      <c r="X28" s="130"/>
      <c r="Y28" s="130"/>
      <c r="Z28" s="130"/>
      <c r="AA28" s="131">
        <v>0.75627559785714282</v>
      </c>
      <c r="AB28" s="36">
        <v>0.54743729552889864</v>
      </c>
      <c r="AC28" s="72">
        <v>1881.2022460000001</v>
      </c>
      <c r="AD28" s="54">
        <v>-230.92</v>
      </c>
      <c r="AE28" s="48">
        <v>-1150</v>
      </c>
      <c r="AF28" s="48">
        <v>161</v>
      </c>
      <c r="AG28" s="131">
        <v>0.75804171671325049</v>
      </c>
      <c r="AH28" s="36">
        <v>0.55071673541637023</v>
      </c>
      <c r="AI28" s="72">
        <v>1881.2022460000001</v>
      </c>
      <c r="AJ28" s="54">
        <v>-232.30333333333331</v>
      </c>
      <c r="AK28" s="48">
        <v>-1141.6666666666667</v>
      </c>
      <c r="AL28" s="48">
        <v>161</v>
      </c>
      <c r="AM28" s="131">
        <v>0.76263362573913041</v>
      </c>
      <c r="AN28" s="36">
        <v>0.5592432791237969</v>
      </c>
      <c r="AO28" s="72">
        <v>1881.2022460000001</v>
      </c>
      <c r="AP28" s="54">
        <v>-235.89999999999998</v>
      </c>
      <c r="AQ28" s="48">
        <v>-1120</v>
      </c>
      <c r="AR28" s="48">
        <v>161</v>
      </c>
      <c r="AS28" s="131">
        <v>0.767366824273499</v>
      </c>
      <c r="AT28" s="36">
        <v>0.56803217802222106</v>
      </c>
      <c r="AU28" s="72">
        <v>1881.2022460000001</v>
      </c>
      <c r="AV28" s="54">
        <v>-239.60733333333332</v>
      </c>
      <c r="AW28" s="48">
        <v>-1097.6666666666667</v>
      </c>
      <c r="AX28" s="48">
        <v>161</v>
      </c>
    </row>
    <row r="29" spans="1:52" x14ac:dyDescent="0.25">
      <c r="B29" s="37" t="s">
        <v>201</v>
      </c>
      <c r="C29" s="129"/>
      <c r="D29" s="129"/>
      <c r="E29" s="130"/>
      <c r="F29" s="130"/>
      <c r="G29" s="130"/>
      <c r="H29" s="130"/>
      <c r="I29" s="129"/>
      <c r="J29" s="129"/>
      <c r="K29" s="130"/>
      <c r="L29" s="130"/>
      <c r="M29" s="130"/>
      <c r="N29" s="130"/>
      <c r="O29" s="129"/>
      <c r="P29" s="129"/>
      <c r="Q29" s="130"/>
      <c r="R29" s="130"/>
      <c r="S29" s="130"/>
      <c r="T29" s="130"/>
      <c r="U29" s="129"/>
      <c r="V29" s="129"/>
      <c r="W29" s="130"/>
      <c r="X29" s="130"/>
      <c r="Y29" s="130"/>
      <c r="Z29" s="130"/>
      <c r="AA29" s="131">
        <v>0.76218406821212126</v>
      </c>
      <c r="AB29" s="36">
        <v>0.55840851260698587</v>
      </c>
      <c r="AC29" s="72">
        <v>1927.94019</v>
      </c>
      <c r="AD29" s="54">
        <v>-241.4</v>
      </c>
      <c r="AE29" s="48">
        <v>-1150</v>
      </c>
      <c r="AF29" s="48">
        <v>165</v>
      </c>
      <c r="AG29" s="131">
        <v>0.76390737206565662</v>
      </c>
      <c r="AH29" s="36">
        <v>0.56160845092142808</v>
      </c>
      <c r="AI29" s="72">
        <v>1927.94019</v>
      </c>
      <c r="AJ29" s="54">
        <v>-242.78333333333333</v>
      </c>
      <c r="AK29" s="48">
        <v>-1141.6666666666667</v>
      </c>
      <c r="AL29" s="48">
        <v>165</v>
      </c>
      <c r="AM29" s="131">
        <v>0.7683879620848485</v>
      </c>
      <c r="AN29" s="36">
        <v>0.56992829053897753</v>
      </c>
      <c r="AO29" s="72">
        <v>1927.94019</v>
      </c>
      <c r="AP29" s="54">
        <v>-246.38</v>
      </c>
      <c r="AQ29" s="48">
        <v>-1120</v>
      </c>
      <c r="AR29" s="48">
        <v>165</v>
      </c>
      <c r="AS29" s="131">
        <v>0.77300641641232326</v>
      </c>
      <c r="AT29" s="36">
        <v>0.57850412522168249</v>
      </c>
      <c r="AU29" s="72">
        <v>1927.94019</v>
      </c>
      <c r="AV29" s="54">
        <v>-250.08733333333333</v>
      </c>
      <c r="AW29" s="48">
        <v>-1097.6666666666667</v>
      </c>
      <c r="AX29" s="48">
        <v>165</v>
      </c>
    </row>
    <row r="30" spans="1:52" x14ac:dyDescent="0.25">
      <c r="B30" s="37" t="s">
        <v>202</v>
      </c>
      <c r="C30" s="129"/>
      <c r="D30" s="129"/>
      <c r="E30" s="130"/>
      <c r="F30" s="130"/>
      <c r="G30" s="130"/>
      <c r="H30" s="130"/>
      <c r="I30" s="129"/>
      <c r="J30" s="129"/>
      <c r="K30" s="130"/>
      <c r="L30" s="130"/>
      <c r="M30" s="130"/>
      <c r="N30" s="130"/>
      <c r="O30" s="129"/>
      <c r="P30" s="129"/>
      <c r="Q30" s="130"/>
      <c r="R30" s="130"/>
      <c r="S30" s="130"/>
      <c r="T30" s="130"/>
      <c r="U30" s="129"/>
      <c r="V30" s="129"/>
      <c r="W30" s="130"/>
      <c r="X30" s="130"/>
      <c r="Y30" s="130"/>
      <c r="Z30" s="130"/>
      <c r="AA30" s="131">
        <v>0.77704756394886365</v>
      </c>
      <c r="AB30" s="36">
        <v>0.58600798056904924</v>
      </c>
      <c r="AC30" s="72">
        <v>2056.4695360000001</v>
      </c>
      <c r="AD30" s="54">
        <v>-270.22000000000003</v>
      </c>
      <c r="AE30" s="48">
        <v>-1150</v>
      </c>
      <c r="AF30" s="48">
        <v>176</v>
      </c>
      <c r="AG30" s="131">
        <v>0.778663161311553</v>
      </c>
      <c r="AH30" s="36">
        <v>0.58900792273883873</v>
      </c>
      <c r="AI30" s="72">
        <v>2056.4695360000001</v>
      </c>
      <c r="AJ30" s="54">
        <v>-271.60333333333335</v>
      </c>
      <c r="AK30" s="48">
        <v>-1141.6666666666667</v>
      </c>
      <c r="AL30" s="48">
        <v>176</v>
      </c>
      <c r="AM30" s="131">
        <v>0.7828637144545455</v>
      </c>
      <c r="AN30" s="36">
        <v>0.59680777238029137</v>
      </c>
      <c r="AO30" s="72">
        <v>2056.4695360000001</v>
      </c>
      <c r="AP30" s="54">
        <v>-275.2</v>
      </c>
      <c r="AQ30" s="48">
        <v>-1120</v>
      </c>
      <c r="AR30" s="48">
        <v>176</v>
      </c>
      <c r="AS30" s="131">
        <v>0.78719351538655302</v>
      </c>
      <c r="AT30" s="36">
        <v>0.60484761739532722</v>
      </c>
      <c r="AU30" s="72">
        <v>2056.4695360000001</v>
      </c>
      <c r="AV30" s="54">
        <v>-278.90733333333333</v>
      </c>
      <c r="AW30" s="48">
        <v>-1097.6666666666667</v>
      </c>
      <c r="AX30" s="48">
        <v>176</v>
      </c>
    </row>
    <row r="31" spans="1:52" x14ac:dyDescent="0.25">
      <c r="B31" s="37" t="s">
        <v>203</v>
      </c>
      <c r="C31" s="129"/>
      <c r="D31" s="129"/>
      <c r="E31" s="130"/>
      <c r="F31" s="130"/>
      <c r="G31" s="130"/>
      <c r="H31" s="130"/>
      <c r="I31" s="129"/>
      <c r="J31" s="129"/>
      <c r="K31" s="130"/>
      <c r="L31" s="130"/>
      <c r="M31" s="130"/>
      <c r="N31" s="130"/>
      <c r="O31" s="129"/>
      <c r="P31" s="129"/>
      <c r="Q31" s="130"/>
      <c r="R31" s="130"/>
      <c r="S31" s="130"/>
      <c r="T31" s="130"/>
      <c r="U31" s="129"/>
      <c r="V31" s="129"/>
      <c r="W31" s="130"/>
      <c r="X31" s="130"/>
      <c r="Y31" s="130"/>
      <c r="Z31" s="130"/>
      <c r="AA31" s="131">
        <v>0.78903425405913974</v>
      </c>
      <c r="AB31" s="36">
        <v>0.60826561602232609</v>
      </c>
      <c r="AC31" s="72">
        <v>2173.3143959999998</v>
      </c>
      <c r="AD31" s="54">
        <v>-296.41999999999996</v>
      </c>
      <c r="AE31" s="48">
        <v>-1150</v>
      </c>
      <c r="AF31" s="48">
        <v>186</v>
      </c>
      <c r="AG31" s="131">
        <v>0.79056299134856634</v>
      </c>
      <c r="AH31" s="36">
        <v>0.61110427097868614</v>
      </c>
      <c r="AI31" s="72">
        <v>2173.3143959999998</v>
      </c>
      <c r="AJ31" s="54">
        <v>-297.80333333333328</v>
      </c>
      <c r="AK31" s="48">
        <v>-1141.6666666666667</v>
      </c>
      <c r="AL31" s="48">
        <v>186</v>
      </c>
      <c r="AM31" s="131">
        <v>0.79453770830107529</v>
      </c>
      <c r="AN31" s="36">
        <v>0.61848477386522194</v>
      </c>
      <c r="AO31" s="72">
        <v>2173.3143959999998</v>
      </c>
      <c r="AP31" s="54">
        <v>-301.39999999999998</v>
      </c>
      <c r="AQ31" s="48">
        <v>-1120</v>
      </c>
      <c r="AR31" s="48">
        <v>186</v>
      </c>
      <c r="AS31" s="131">
        <v>0.79863472423673831</v>
      </c>
      <c r="AT31" s="36">
        <v>0.62609236914826671</v>
      </c>
      <c r="AU31" s="72">
        <v>2173.3143959999998</v>
      </c>
      <c r="AV31" s="54">
        <v>-305.10733333333332</v>
      </c>
      <c r="AW31" s="48">
        <v>-1097.6666666666667</v>
      </c>
      <c r="AX31" s="48">
        <v>186</v>
      </c>
    </row>
    <row r="32" spans="1:52" x14ac:dyDescent="0.25">
      <c r="B32" s="37" t="s">
        <v>204</v>
      </c>
      <c r="C32" s="129"/>
      <c r="D32" s="129"/>
      <c r="E32" s="130"/>
      <c r="F32" s="130"/>
      <c r="G32" s="130"/>
      <c r="H32" s="130"/>
      <c r="I32" s="129"/>
      <c r="J32" s="129"/>
      <c r="K32" s="130"/>
      <c r="L32" s="130"/>
      <c r="M32" s="130"/>
      <c r="N32" s="130"/>
      <c r="O32" s="129"/>
      <c r="P32" s="129"/>
      <c r="Q32" s="130"/>
      <c r="R32" s="130"/>
      <c r="S32" s="130"/>
      <c r="T32" s="130"/>
      <c r="U32" s="129"/>
      <c r="V32" s="129"/>
      <c r="W32" s="130"/>
      <c r="X32" s="130"/>
      <c r="Y32" s="130"/>
      <c r="Z32" s="130"/>
      <c r="AA32" s="131">
        <v>0.78674114812499996</v>
      </c>
      <c r="AB32" s="36">
        <v>0.60400763358778631</v>
      </c>
      <c r="AC32" s="72">
        <v>2149.945424</v>
      </c>
      <c r="AD32" s="54">
        <v>-291.18000000000006</v>
      </c>
      <c r="AE32" s="48">
        <v>-1150</v>
      </c>
      <c r="AF32" s="48">
        <v>184</v>
      </c>
      <c r="AG32" s="131">
        <v>0.78828650212409423</v>
      </c>
      <c r="AH32" s="36">
        <v>0.60687714348932409</v>
      </c>
      <c r="AI32" s="72">
        <v>2149.945424</v>
      </c>
      <c r="AJ32" s="54">
        <v>-292.56333333333339</v>
      </c>
      <c r="AK32" s="48">
        <v>-1141.6666666666667</v>
      </c>
      <c r="AL32" s="48">
        <v>184</v>
      </c>
      <c r="AM32" s="131">
        <v>0.79230442252173916</v>
      </c>
      <c r="AN32" s="36">
        <v>0.61433786923332234</v>
      </c>
      <c r="AO32" s="72">
        <v>2149.945424</v>
      </c>
      <c r="AP32" s="54">
        <v>-296.16000000000003</v>
      </c>
      <c r="AQ32" s="48">
        <v>-1120</v>
      </c>
      <c r="AR32" s="48">
        <v>184</v>
      </c>
      <c r="AS32" s="131">
        <v>0.7964459712393116</v>
      </c>
      <c r="AT32" s="36">
        <v>0.62202815576944359</v>
      </c>
      <c r="AU32" s="72">
        <v>2149.945424</v>
      </c>
      <c r="AV32" s="54">
        <v>-299.86733333333336</v>
      </c>
      <c r="AW32" s="48">
        <v>-1097.6666666666667</v>
      </c>
      <c r="AX32" s="48">
        <v>184</v>
      </c>
    </row>
    <row r="34" spans="1:100" x14ac:dyDescent="0.25">
      <c r="C34" t="s">
        <v>48</v>
      </c>
      <c r="AY34" t="s">
        <v>47</v>
      </c>
    </row>
    <row r="35" spans="1:100" x14ac:dyDescent="0.25">
      <c r="C35" s="38" t="s">
        <v>85</v>
      </c>
      <c r="D35" s="11"/>
      <c r="E35" s="12"/>
      <c r="F35" s="11"/>
      <c r="G35" s="11"/>
      <c r="H35" s="11"/>
      <c r="I35" s="38" t="s">
        <v>86</v>
      </c>
      <c r="J35" s="11"/>
      <c r="K35" s="12"/>
      <c r="L35" s="12"/>
      <c r="M35" s="12"/>
      <c r="N35" s="12"/>
      <c r="O35" s="12" t="s">
        <v>87</v>
      </c>
      <c r="P35" s="28"/>
      <c r="Q35" s="37"/>
      <c r="R35" s="38"/>
      <c r="S35" s="38"/>
      <c r="T35" s="38"/>
      <c r="U35" s="38" t="s">
        <v>88</v>
      </c>
      <c r="V35" s="11"/>
      <c r="W35" s="12"/>
      <c r="X35" s="11"/>
      <c r="Y35" s="11"/>
      <c r="Z35" s="11"/>
      <c r="AA35" s="38" t="s">
        <v>102</v>
      </c>
      <c r="AB35" s="11"/>
      <c r="AC35" s="12"/>
      <c r="AD35" s="11"/>
      <c r="AE35" s="11"/>
      <c r="AF35" s="11"/>
      <c r="AG35" s="38" t="s">
        <v>103</v>
      </c>
      <c r="AH35" s="11"/>
      <c r="AI35" s="37"/>
      <c r="AJ35" s="38"/>
      <c r="AK35" s="38"/>
      <c r="AL35" s="38"/>
      <c r="AM35" s="38" t="s">
        <v>104</v>
      </c>
      <c r="AN35" s="11"/>
      <c r="AO35" s="37"/>
      <c r="AP35" s="38"/>
      <c r="AQ35" s="38"/>
      <c r="AR35" s="38"/>
      <c r="AS35" s="38" t="s">
        <v>105</v>
      </c>
      <c r="AT35" s="11"/>
      <c r="AU35" s="37"/>
      <c r="AV35" s="38"/>
      <c r="AW35" s="38"/>
      <c r="AX35" s="38"/>
      <c r="AY35" s="38" t="s">
        <v>74</v>
      </c>
      <c r="AZ35" s="11"/>
      <c r="BA35" s="12"/>
      <c r="BB35" s="11"/>
      <c r="BC35" s="11"/>
      <c r="BD35" s="11"/>
      <c r="BE35" s="38" t="s">
        <v>75</v>
      </c>
      <c r="BF35" s="11"/>
      <c r="BG35" s="12"/>
      <c r="BH35" s="12"/>
      <c r="BI35" s="12"/>
      <c r="BJ35" s="12"/>
      <c r="BK35" s="12" t="s">
        <v>76</v>
      </c>
      <c r="BL35" s="28"/>
      <c r="BM35" s="50"/>
      <c r="BN35" s="50"/>
      <c r="BO35" s="50"/>
      <c r="BP35" s="50"/>
      <c r="BQ35" s="38" t="s">
        <v>77</v>
      </c>
      <c r="BR35" s="11"/>
      <c r="BS35" s="12"/>
      <c r="BT35" s="11"/>
      <c r="BU35" s="11"/>
      <c r="BV35" s="11"/>
      <c r="BW35" s="38" t="s">
        <v>106</v>
      </c>
      <c r="BX35" s="11"/>
      <c r="BY35" s="12"/>
      <c r="BZ35" s="11"/>
      <c r="CA35" s="11"/>
      <c r="CB35" s="11"/>
      <c r="CC35" s="38" t="s">
        <v>107</v>
      </c>
      <c r="CD35" s="11"/>
      <c r="CE35" s="37"/>
      <c r="CF35" s="38"/>
      <c r="CG35" s="38"/>
      <c r="CH35" s="38"/>
      <c r="CI35" s="38" t="s">
        <v>108</v>
      </c>
      <c r="CJ35" s="11"/>
      <c r="CK35" s="37"/>
      <c r="CL35" s="38"/>
      <c r="CM35" s="38"/>
      <c r="CN35" s="38"/>
      <c r="CO35" s="38" t="s">
        <v>109</v>
      </c>
      <c r="CP35" s="11"/>
      <c r="CQ35" s="37"/>
      <c r="CR35" s="37"/>
      <c r="CS35" s="37"/>
      <c r="CT35" s="37"/>
    </row>
    <row r="36" spans="1:100" x14ac:dyDescent="0.25">
      <c r="C36" s="39" t="s">
        <v>44</v>
      </c>
      <c r="D36" s="39" t="s">
        <v>45</v>
      </c>
      <c r="E36" s="39" t="s">
        <v>15</v>
      </c>
      <c r="F36" s="35" t="s">
        <v>174</v>
      </c>
      <c r="G36" s="35" t="s">
        <v>33</v>
      </c>
      <c r="H36" s="35" t="s">
        <v>34</v>
      </c>
      <c r="I36" s="39" t="s">
        <v>44</v>
      </c>
      <c r="J36" s="39" t="s">
        <v>45</v>
      </c>
      <c r="K36" s="39" t="s">
        <v>15</v>
      </c>
      <c r="L36" s="35" t="s">
        <v>174</v>
      </c>
      <c r="M36" s="35" t="s">
        <v>33</v>
      </c>
      <c r="N36" s="35" t="s">
        <v>34</v>
      </c>
      <c r="O36" s="39" t="s">
        <v>44</v>
      </c>
      <c r="P36" s="39" t="s">
        <v>45</v>
      </c>
      <c r="Q36" s="39" t="s">
        <v>15</v>
      </c>
      <c r="R36" s="35" t="s">
        <v>174</v>
      </c>
      <c r="S36" s="35" t="s">
        <v>33</v>
      </c>
      <c r="T36" s="35" t="s">
        <v>34</v>
      </c>
      <c r="U36" s="39" t="s">
        <v>44</v>
      </c>
      <c r="V36" s="39" t="s">
        <v>45</v>
      </c>
      <c r="W36" s="39" t="s">
        <v>15</v>
      </c>
      <c r="X36" s="35" t="s">
        <v>174</v>
      </c>
      <c r="Y36" s="35" t="s">
        <v>33</v>
      </c>
      <c r="Z36" s="35" t="s">
        <v>34</v>
      </c>
      <c r="AA36" s="39" t="s">
        <v>44</v>
      </c>
      <c r="AB36" s="39" t="s">
        <v>45</v>
      </c>
      <c r="AC36" s="39" t="s">
        <v>15</v>
      </c>
      <c r="AD36" s="35" t="s">
        <v>174</v>
      </c>
      <c r="AE36" s="35" t="s">
        <v>33</v>
      </c>
      <c r="AF36" s="35" t="s">
        <v>34</v>
      </c>
      <c r="AG36" s="39" t="s">
        <v>44</v>
      </c>
      <c r="AH36" s="39" t="s">
        <v>45</v>
      </c>
      <c r="AI36" s="39" t="s">
        <v>15</v>
      </c>
      <c r="AJ36" s="35" t="s">
        <v>174</v>
      </c>
      <c r="AK36" s="35" t="s">
        <v>33</v>
      </c>
      <c r="AL36" s="35" t="s">
        <v>34</v>
      </c>
      <c r="AM36" s="39" t="s">
        <v>44</v>
      </c>
      <c r="AN36" s="39" t="s">
        <v>45</v>
      </c>
      <c r="AO36" s="39" t="s">
        <v>15</v>
      </c>
      <c r="AP36" s="35" t="s">
        <v>174</v>
      </c>
      <c r="AQ36" s="35" t="s">
        <v>33</v>
      </c>
      <c r="AR36" s="35" t="s">
        <v>34</v>
      </c>
      <c r="AS36" s="39" t="s">
        <v>44</v>
      </c>
      <c r="AT36" s="39" t="s">
        <v>45</v>
      </c>
      <c r="AU36" s="39" t="s">
        <v>15</v>
      </c>
      <c r="AV36" s="35" t="s">
        <v>174</v>
      </c>
      <c r="AW36" s="35" t="s">
        <v>33</v>
      </c>
      <c r="AX36" s="35" t="s">
        <v>34</v>
      </c>
      <c r="AY36" s="39" t="s">
        <v>44</v>
      </c>
      <c r="AZ36" s="39" t="s">
        <v>45</v>
      </c>
      <c r="BA36" s="39" t="s">
        <v>15</v>
      </c>
      <c r="BB36" s="35" t="s">
        <v>174</v>
      </c>
      <c r="BC36" s="35" t="s">
        <v>33</v>
      </c>
      <c r="BD36" s="35" t="s">
        <v>34</v>
      </c>
      <c r="BE36" s="39" t="s">
        <v>44</v>
      </c>
      <c r="BF36" s="39" t="s">
        <v>45</v>
      </c>
      <c r="BG36" s="39" t="s">
        <v>15</v>
      </c>
      <c r="BH36" s="35" t="s">
        <v>174</v>
      </c>
      <c r="BI36" s="35" t="s">
        <v>33</v>
      </c>
      <c r="BJ36" s="35" t="s">
        <v>34</v>
      </c>
      <c r="BK36" s="39" t="s">
        <v>44</v>
      </c>
      <c r="BL36" s="39" t="s">
        <v>45</v>
      </c>
      <c r="BM36" s="39" t="s">
        <v>15</v>
      </c>
      <c r="BN36" s="35" t="s">
        <v>174</v>
      </c>
      <c r="BO36" s="35" t="s">
        <v>33</v>
      </c>
      <c r="BP36" s="35" t="s">
        <v>34</v>
      </c>
      <c r="BQ36" s="39" t="s">
        <v>44</v>
      </c>
      <c r="BR36" s="39" t="s">
        <v>45</v>
      </c>
      <c r="BS36" s="39" t="s">
        <v>15</v>
      </c>
      <c r="BT36" s="35" t="s">
        <v>174</v>
      </c>
      <c r="BU36" s="35" t="s">
        <v>33</v>
      </c>
      <c r="BV36" s="35" t="s">
        <v>34</v>
      </c>
      <c r="BW36" s="39" t="s">
        <v>44</v>
      </c>
      <c r="BX36" s="39" t="s">
        <v>45</v>
      </c>
      <c r="BY36" s="39" t="s">
        <v>15</v>
      </c>
      <c r="BZ36" s="35" t="s">
        <v>174</v>
      </c>
      <c r="CA36" s="35" t="s">
        <v>33</v>
      </c>
      <c r="CB36" s="35" t="s">
        <v>34</v>
      </c>
      <c r="CC36" s="39" t="s">
        <v>44</v>
      </c>
      <c r="CD36" s="39" t="s">
        <v>45</v>
      </c>
      <c r="CE36" s="39" t="s">
        <v>15</v>
      </c>
      <c r="CF36" s="35" t="s">
        <v>174</v>
      </c>
      <c r="CG36" s="35" t="s">
        <v>33</v>
      </c>
      <c r="CH36" s="35" t="s">
        <v>34</v>
      </c>
      <c r="CI36" s="39" t="s">
        <v>44</v>
      </c>
      <c r="CJ36" s="39" t="s">
        <v>45</v>
      </c>
      <c r="CK36" s="39" t="s">
        <v>15</v>
      </c>
      <c r="CL36" s="35" t="s">
        <v>174</v>
      </c>
      <c r="CM36" s="35" t="s">
        <v>33</v>
      </c>
      <c r="CN36" s="35" t="s">
        <v>34</v>
      </c>
      <c r="CO36" s="39" t="s">
        <v>44</v>
      </c>
      <c r="CP36" s="39" t="s">
        <v>45</v>
      </c>
      <c r="CQ36" s="39" t="s">
        <v>15</v>
      </c>
      <c r="CR36" s="35" t="s">
        <v>174</v>
      </c>
      <c r="CS36" s="35" t="s">
        <v>33</v>
      </c>
      <c r="CT36" s="35" t="s">
        <v>34</v>
      </c>
      <c r="CV36" t="s">
        <v>149</v>
      </c>
    </row>
    <row r="37" spans="1:100" x14ac:dyDescent="0.25">
      <c r="A37" t="s">
        <v>48</v>
      </c>
      <c r="B37" s="37" t="s">
        <v>144</v>
      </c>
      <c r="C37" s="36" t="e">
        <f>hvac!U4</f>
        <v>#DIV/0!</v>
      </c>
      <c r="D37" s="36" t="e">
        <f>hvac!V4</f>
        <v>#DIV/0!</v>
      </c>
      <c r="E37" s="48">
        <f>hvac!W4</f>
        <v>0</v>
      </c>
      <c r="F37" s="54">
        <f>hvac!S4</f>
        <v>0</v>
      </c>
      <c r="G37" s="48">
        <f>hvac!G4</f>
        <v>0</v>
      </c>
      <c r="H37" s="48">
        <f>hvac!H4</f>
        <v>0</v>
      </c>
      <c r="I37" s="36" t="e">
        <f>hvac!U5</f>
        <v>#DIV/0!</v>
      </c>
      <c r="J37" s="36" t="e">
        <f>hvac!V5</f>
        <v>#DIV/0!</v>
      </c>
      <c r="K37" s="48">
        <f>hvac!W5</f>
        <v>0</v>
      </c>
      <c r="L37" s="54">
        <f>hvac!S5</f>
        <v>0</v>
      </c>
      <c r="M37" s="48">
        <f>hvac!G5</f>
        <v>0</v>
      </c>
      <c r="N37" s="48">
        <f>hvac!H5</f>
        <v>0</v>
      </c>
      <c r="O37" s="36" t="e">
        <f>hvac!U6</f>
        <v>#DIV/0!</v>
      </c>
      <c r="P37" s="36" t="e">
        <f>hvac!V6</f>
        <v>#DIV/0!</v>
      </c>
      <c r="Q37" s="48">
        <f>hvac!W6</f>
        <v>0</v>
      </c>
      <c r="R37" s="54">
        <f>hvac!S6</f>
        <v>0</v>
      </c>
      <c r="S37" s="48">
        <f>hvac!G6</f>
        <v>0</v>
      </c>
      <c r="T37" s="48">
        <f>hvac!H6</f>
        <v>0</v>
      </c>
      <c r="U37" s="36" t="e">
        <f>hvac!U7</f>
        <v>#DIV/0!</v>
      </c>
      <c r="V37" s="36" t="e">
        <f>hvac!V7</f>
        <v>#DIV/0!</v>
      </c>
      <c r="W37" s="48">
        <f>hvac!W7</f>
        <v>0</v>
      </c>
      <c r="X37" s="54">
        <f>hvac!S7</f>
        <v>0</v>
      </c>
      <c r="Y37" s="48">
        <f>hvac!G7</f>
        <v>0</v>
      </c>
      <c r="Z37" s="48">
        <f>hvac!H7</f>
        <v>0</v>
      </c>
      <c r="AA37" s="36"/>
      <c r="AB37" s="36"/>
      <c r="AC37" s="48"/>
      <c r="AD37" s="48"/>
      <c r="AE37" s="48"/>
      <c r="AF37" s="48"/>
      <c r="AG37" s="36"/>
      <c r="AH37" s="36"/>
      <c r="AI37" s="48"/>
      <c r="AJ37" s="48"/>
      <c r="AK37" s="48"/>
      <c r="AL37" s="48"/>
      <c r="AM37" s="36"/>
      <c r="AN37" s="36"/>
      <c r="AO37" s="48"/>
      <c r="AP37" s="48"/>
      <c r="AQ37" s="48"/>
      <c r="AR37" s="48"/>
      <c r="AS37" s="36"/>
      <c r="AT37" s="36"/>
      <c r="AU37" s="48"/>
      <c r="AV37" s="48"/>
      <c r="AW37" s="48"/>
      <c r="AX37" s="48"/>
      <c r="AY37" s="36"/>
      <c r="AZ37" s="36"/>
      <c r="BA37" s="48"/>
      <c r="BB37" s="48"/>
      <c r="BC37" s="48"/>
      <c r="BD37" s="48"/>
      <c r="BE37" s="36"/>
      <c r="BF37" s="36"/>
      <c r="BG37" s="48"/>
      <c r="BH37" s="48"/>
      <c r="BI37" s="48"/>
      <c r="BJ37" s="48"/>
      <c r="BK37" s="36"/>
      <c r="BL37" s="36"/>
      <c r="BM37" s="48"/>
      <c r="BN37" s="48"/>
      <c r="BO37" s="48"/>
      <c r="BP37" s="48"/>
      <c r="BQ37" s="36"/>
      <c r="BR37" s="36"/>
      <c r="BS37" s="48"/>
      <c r="BT37" s="48"/>
      <c r="BU37" s="48"/>
      <c r="BV37" s="48"/>
      <c r="BW37" s="36"/>
      <c r="BX37" s="36"/>
      <c r="BY37" s="48"/>
      <c r="BZ37" s="48"/>
      <c r="CA37" s="48"/>
      <c r="CB37" s="48"/>
      <c r="CC37" s="36"/>
      <c r="CD37" s="36"/>
      <c r="CE37" s="48"/>
      <c r="CF37" s="48"/>
      <c r="CG37" s="48"/>
      <c r="CH37" s="48"/>
      <c r="CI37" s="36"/>
      <c r="CJ37" s="36"/>
      <c r="CK37" s="48"/>
      <c r="CL37" s="48"/>
      <c r="CM37" s="48"/>
      <c r="CN37" s="48"/>
      <c r="CO37" s="36"/>
      <c r="CP37" s="36"/>
      <c r="CQ37" s="48"/>
      <c r="CR37" s="48"/>
      <c r="CS37" s="48"/>
      <c r="CT37" s="48"/>
      <c r="CV37" t="s">
        <v>148</v>
      </c>
    </row>
    <row r="38" spans="1:100" x14ac:dyDescent="0.25">
      <c r="B38" s="37" t="s">
        <v>145</v>
      </c>
      <c r="C38" s="36" t="e">
        <f>hvac!U8</f>
        <v>#DIV/0!</v>
      </c>
      <c r="D38" s="36" t="e">
        <f>hvac!V8</f>
        <v>#DIV/0!</v>
      </c>
      <c r="E38" s="48">
        <f>hvac!W8</f>
        <v>0</v>
      </c>
      <c r="F38" s="54">
        <f>hvac!S8</f>
        <v>0</v>
      </c>
      <c r="G38" s="48">
        <f>hvac!G8</f>
        <v>0</v>
      </c>
      <c r="H38" s="48">
        <f>hvac!H8</f>
        <v>0</v>
      </c>
      <c r="I38" s="36" t="e">
        <f>hvac!U9</f>
        <v>#DIV/0!</v>
      </c>
      <c r="J38" s="36" t="e">
        <f>hvac!V9</f>
        <v>#DIV/0!</v>
      </c>
      <c r="K38" s="48">
        <f>hvac!W9</f>
        <v>0</v>
      </c>
      <c r="L38" s="54">
        <f>hvac!S9</f>
        <v>0</v>
      </c>
      <c r="M38" s="48">
        <f>hvac!G9</f>
        <v>0</v>
      </c>
      <c r="N38" s="48">
        <f>hvac!H9</f>
        <v>0</v>
      </c>
      <c r="O38" s="36" t="e">
        <f>hvac!U10</f>
        <v>#DIV/0!</v>
      </c>
      <c r="P38" s="36" t="e">
        <f>hvac!V10</f>
        <v>#DIV/0!</v>
      </c>
      <c r="Q38" s="48">
        <f>hvac!W10</f>
        <v>0</v>
      </c>
      <c r="R38" s="54">
        <f>hvac!S10</f>
        <v>0</v>
      </c>
      <c r="S38" s="48">
        <f>hvac!G10</f>
        <v>0</v>
      </c>
      <c r="T38" s="48">
        <f>hvac!H10</f>
        <v>0</v>
      </c>
      <c r="U38" s="36" t="e">
        <f>hvac!U11</f>
        <v>#DIV/0!</v>
      </c>
      <c r="V38" s="36" t="e">
        <f>hvac!V11</f>
        <v>#DIV/0!</v>
      </c>
      <c r="W38" s="48">
        <f>hvac!W11</f>
        <v>0</v>
      </c>
      <c r="X38" s="54">
        <f>hvac!S11</f>
        <v>0</v>
      </c>
      <c r="Y38" s="48">
        <f>hvac!G11</f>
        <v>0</v>
      </c>
      <c r="Z38" s="48">
        <f>hvac!H11</f>
        <v>0</v>
      </c>
      <c r="AA38" s="36"/>
      <c r="AB38" s="36"/>
      <c r="AC38" s="48"/>
      <c r="AD38" s="48"/>
      <c r="AE38" s="48"/>
      <c r="AF38" s="48"/>
      <c r="AG38" s="36"/>
      <c r="AH38" s="36"/>
      <c r="AI38" s="48"/>
      <c r="AJ38" s="48"/>
      <c r="AK38" s="48"/>
      <c r="AL38" s="48"/>
      <c r="AM38" s="36"/>
      <c r="AN38" s="36"/>
      <c r="AO38" s="48"/>
      <c r="AP38" s="48"/>
      <c r="AQ38" s="48"/>
      <c r="AR38" s="48"/>
      <c r="AS38" s="36"/>
      <c r="AT38" s="36"/>
      <c r="AU38" s="48"/>
      <c r="AV38" s="48"/>
      <c r="AW38" s="48"/>
      <c r="AX38" s="48"/>
      <c r="AY38" s="36"/>
      <c r="AZ38" s="36"/>
      <c r="BA38" s="48"/>
      <c r="BB38" s="48"/>
      <c r="BC38" s="48"/>
      <c r="BD38" s="48"/>
      <c r="BE38" s="36"/>
      <c r="BF38" s="36"/>
      <c r="BG38" s="48"/>
      <c r="BH38" s="48"/>
      <c r="BI38" s="48"/>
      <c r="BJ38" s="48"/>
      <c r="BK38" s="36"/>
      <c r="BL38" s="36"/>
      <c r="BM38" s="48"/>
      <c r="BN38" s="48"/>
      <c r="BO38" s="48"/>
      <c r="BP38" s="48"/>
      <c r="BQ38" s="36"/>
      <c r="BR38" s="36"/>
      <c r="BS38" s="48"/>
      <c r="BT38" s="48"/>
      <c r="BU38" s="48"/>
      <c r="BV38" s="48"/>
      <c r="BW38" s="36"/>
      <c r="BX38" s="36"/>
      <c r="BY38" s="48"/>
      <c r="BZ38" s="48"/>
      <c r="CA38" s="48"/>
      <c r="CB38" s="48"/>
      <c r="CC38" s="36"/>
      <c r="CD38" s="36"/>
      <c r="CE38" s="48"/>
      <c r="CF38" s="48"/>
      <c r="CG38" s="48"/>
      <c r="CH38" s="48"/>
      <c r="CI38" s="36"/>
      <c r="CJ38" s="36"/>
      <c r="CK38" s="48"/>
      <c r="CL38" s="48"/>
      <c r="CM38" s="48"/>
      <c r="CN38" s="48"/>
      <c r="CO38" s="36"/>
      <c r="CP38" s="36"/>
      <c r="CQ38" s="48"/>
      <c r="CR38" s="48"/>
      <c r="CS38" s="48"/>
      <c r="CT38" s="48"/>
      <c r="CV38" t="s">
        <v>150</v>
      </c>
    </row>
    <row r="39" spans="1:100" x14ac:dyDescent="0.25">
      <c r="B39" s="37" t="s">
        <v>146</v>
      </c>
      <c r="C39" s="36"/>
      <c r="D39" s="36"/>
      <c r="E39" s="48"/>
      <c r="F39" s="48"/>
      <c r="G39" s="48"/>
      <c r="H39" s="48"/>
      <c r="I39" s="36"/>
      <c r="J39" s="36"/>
      <c r="K39" s="48"/>
      <c r="L39" s="48"/>
      <c r="M39" s="48"/>
      <c r="N39" s="48"/>
      <c r="O39" s="36"/>
      <c r="P39" s="36"/>
      <c r="Q39" s="48"/>
      <c r="R39" s="48"/>
      <c r="S39" s="48"/>
      <c r="T39" s="48"/>
      <c r="U39" s="36"/>
      <c r="V39" s="36"/>
      <c r="W39" s="48"/>
      <c r="X39" s="48"/>
      <c r="Y39" s="48"/>
      <c r="Z39" s="48"/>
      <c r="AA39" s="36" t="e">
        <f>hvac!U29</f>
        <v>#DIV/0!</v>
      </c>
      <c r="AB39" s="36" t="e">
        <f>hvac!V29</f>
        <v>#DIV/0!</v>
      </c>
      <c r="AC39" s="48">
        <f>hvac!W29</f>
        <v>0</v>
      </c>
      <c r="AD39" s="54">
        <f>hvac!S29</f>
        <v>0</v>
      </c>
      <c r="AE39" s="48">
        <f>hvac!G29</f>
        <v>0</v>
      </c>
      <c r="AF39" s="48">
        <f>hvac!H29</f>
        <v>0</v>
      </c>
      <c r="AG39" s="36" t="e">
        <f>hvac!U31</f>
        <v>#DIV/0!</v>
      </c>
      <c r="AH39" s="36" t="e">
        <f>hvac!V31</f>
        <v>#DIV/0!</v>
      </c>
      <c r="AI39" s="48">
        <f>hvac!W31</f>
        <v>0</v>
      </c>
      <c r="AJ39" s="54">
        <f>hvac!S31</f>
        <v>0</v>
      </c>
      <c r="AK39" s="48">
        <f>hvac!G31</f>
        <v>0</v>
      </c>
      <c r="AL39" s="48">
        <f>hvac!H31</f>
        <v>0</v>
      </c>
      <c r="AM39" s="36" t="e">
        <f>hvac!U33</f>
        <v>#DIV/0!</v>
      </c>
      <c r="AN39" s="36" t="e">
        <f>hvac!V33</f>
        <v>#DIV/0!</v>
      </c>
      <c r="AO39" s="48">
        <f>hvac!W33</f>
        <v>0</v>
      </c>
      <c r="AP39" s="54">
        <f>hvac!S33</f>
        <v>0</v>
      </c>
      <c r="AQ39" s="48">
        <f>hvac!G33</f>
        <v>0</v>
      </c>
      <c r="AR39" s="48">
        <f>hvac!H33</f>
        <v>0</v>
      </c>
      <c r="AS39" s="36" t="e">
        <f>hvac!U35</f>
        <v>#DIV/0!</v>
      </c>
      <c r="AT39" s="36" t="e">
        <f>hvac!V35</f>
        <v>#DIV/0!</v>
      </c>
      <c r="AU39" s="48">
        <f>hvac!W35</f>
        <v>0</v>
      </c>
      <c r="AV39" s="54">
        <f>hvac!S35</f>
        <v>0</v>
      </c>
      <c r="AW39" s="48">
        <f>hvac!G35</f>
        <v>0</v>
      </c>
      <c r="AX39" s="48">
        <f>hvac!H35</f>
        <v>0</v>
      </c>
      <c r="AY39" s="36"/>
      <c r="AZ39" s="36"/>
      <c r="BA39" s="48"/>
      <c r="BB39" s="48"/>
      <c r="BC39" s="48"/>
      <c r="BD39" s="48"/>
      <c r="BE39" s="36"/>
      <c r="BF39" s="36"/>
      <c r="BG39" s="48"/>
      <c r="BH39" s="48"/>
      <c r="BI39" s="48"/>
      <c r="BJ39" s="48"/>
      <c r="BK39" s="36"/>
      <c r="BL39" s="36"/>
      <c r="BM39" s="48"/>
      <c r="BN39" s="48"/>
      <c r="BO39" s="48"/>
      <c r="BP39" s="48"/>
      <c r="BQ39" s="36"/>
      <c r="BR39" s="36"/>
      <c r="BS39" s="48"/>
      <c r="BT39" s="48"/>
      <c r="BU39" s="48"/>
      <c r="BV39" s="48"/>
      <c r="BW39" s="36"/>
      <c r="BX39" s="36"/>
      <c r="BY39" s="48"/>
      <c r="BZ39" s="48"/>
      <c r="CA39" s="48"/>
      <c r="CB39" s="48"/>
      <c r="CC39" s="36"/>
      <c r="CD39" s="36"/>
      <c r="CE39" s="48"/>
      <c r="CF39" s="48"/>
      <c r="CG39" s="48"/>
      <c r="CH39" s="48"/>
      <c r="CI39" s="36"/>
      <c r="CJ39" s="36"/>
      <c r="CK39" s="48"/>
      <c r="CL39" s="48"/>
      <c r="CM39" s="48"/>
      <c r="CN39" s="48"/>
      <c r="CO39" s="36"/>
      <c r="CP39" s="36"/>
      <c r="CQ39" s="48"/>
      <c r="CR39" s="48"/>
      <c r="CS39" s="48"/>
      <c r="CT39" s="48"/>
      <c r="CV39" t="s">
        <v>151</v>
      </c>
    </row>
    <row r="40" spans="1:100" x14ac:dyDescent="0.25">
      <c r="B40" s="37" t="s">
        <v>147</v>
      </c>
      <c r="C40" s="36"/>
      <c r="D40" s="36"/>
      <c r="E40" s="48"/>
      <c r="F40" s="48"/>
      <c r="G40" s="48"/>
      <c r="H40" s="48"/>
      <c r="I40" s="36"/>
      <c r="J40" s="36"/>
      <c r="K40" s="48"/>
      <c r="L40" s="48"/>
      <c r="M40" s="48"/>
      <c r="N40" s="48"/>
      <c r="O40" s="36"/>
      <c r="P40" s="36"/>
      <c r="Q40" s="48"/>
      <c r="R40" s="48"/>
      <c r="S40" s="48"/>
      <c r="T40" s="48"/>
      <c r="U40" s="36"/>
      <c r="V40" s="36"/>
      <c r="W40" s="48"/>
      <c r="X40" s="48"/>
      <c r="Y40" s="48"/>
      <c r="Z40" s="48"/>
      <c r="AA40" s="36" t="e">
        <f>hvac!U12</f>
        <v>#DIV/0!</v>
      </c>
      <c r="AB40" s="36" t="e">
        <f>hvac!V12</f>
        <v>#DIV/0!</v>
      </c>
      <c r="AC40" s="48">
        <f>hvac!W12</f>
        <v>0</v>
      </c>
      <c r="AD40" s="54">
        <f>hvac!S12</f>
        <v>0</v>
      </c>
      <c r="AE40" s="48">
        <f>hvac!G12</f>
        <v>0</v>
      </c>
      <c r="AF40" s="48">
        <f>hvac!H12</f>
        <v>0</v>
      </c>
      <c r="AG40" s="36" t="e">
        <f>hvac!U13</f>
        <v>#DIV/0!</v>
      </c>
      <c r="AH40" s="36" t="e">
        <f>hvac!V13</f>
        <v>#DIV/0!</v>
      </c>
      <c r="AI40" s="48">
        <f>hvac!W13</f>
        <v>0</v>
      </c>
      <c r="AJ40" s="54">
        <f>hvac!S13</f>
        <v>0</v>
      </c>
      <c r="AK40" s="48">
        <f>hvac!G13</f>
        <v>0</v>
      </c>
      <c r="AL40" s="48">
        <f>hvac!H13</f>
        <v>0</v>
      </c>
      <c r="AM40" s="36" t="e">
        <f>hvac!U14</f>
        <v>#DIV/0!</v>
      </c>
      <c r="AN40" s="36" t="e">
        <f>hvac!V14</f>
        <v>#DIV/0!</v>
      </c>
      <c r="AO40" s="48">
        <f>hvac!W14</f>
        <v>0</v>
      </c>
      <c r="AP40" s="54">
        <f>hvac!S14</f>
        <v>0</v>
      </c>
      <c r="AQ40" s="48">
        <f>hvac!G14</f>
        <v>0</v>
      </c>
      <c r="AR40" s="48">
        <f>hvac!H14</f>
        <v>0</v>
      </c>
      <c r="AS40" s="36" t="e">
        <f>hvac!U15</f>
        <v>#DIV/0!</v>
      </c>
      <c r="AT40" s="36" t="e">
        <f>hvac!V15</f>
        <v>#DIV/0!</v>
      </c>
      <c r="AU40" s="48">
        <f>hvac!W15</f>
        <v>0</v>
      </c>
      <c r="AV40" s="54">
        <f>hvac!S15</f>
        <v>0</v>
      </c>
      <c r="AW40" s="48">
        <f>hvac!G15</f>
        <v>0</v>
      </c>
      <c r="AX40" s="48">
        <f>hvac!H15</f>
        <v>0</v>
      </c>
      <c r="AY40" s="36"/>
      <c r="AZ40" s="36"/>
      <c r="BA40" s="48"/>
      <c r="BB40" s="48"/>
      <c r="BC40" s="48"/>
      <c r="BD40" s="48"/>
      <c r="BE40" s="36"/>
      <c r="BF40" s="36"/>
      <c r="BG40" s="48"/>
      <c r="BH40" s="48"/>
      <c r="BI40" s="48"/>
      <c r="BJ40" s="48"/>
      <c r="BK40" s="36"/>
      <c r="BL40" s="36"/>
      <c r="BM40" s="48"/>
      <c r="BN40" s="48"/>
      <c r="BO40" s="48"/>
      <c r="BP40" s="48"/>
      <c r="BQ40" s="36"/>
      <c r="BR40" s="36"/>
      <c r="BS40" s="48"/>
      <c r="BT40" s="48"/>
      <c r="BU40" s="48"/>
      <c r="BV40" s="48"/>
      <c r="BW40" s="36"/>
      <c r="BX40" s="36"/>
      <c r="BY40" s="48"/>
      <c r="BZ40" s="48"/>
      <c r="CA40" s="48"/>
      <c r="CB40" s="48"/>
      <c r="CC40" s="36"/>
      <c r="CD40" s="36"/>
      <c r="CE40" s="48"/>
      <c r="CF40" s="48"/>
      <c r="CG40" s="48"/>
      <c r="CH40" s="48"/>
      <c r="CI40" s="36"/>
      <c r="CJ40" s="36"/>
      <c r="CK40" s="48"/>
      <c r="CL40" s="48"/>
      <c r="CM40" s="48"/>
      <c r="CN40" s="48"/>
      <c r="CO40" s="36"/>
      <c r="CP40" s="36"/>
      <c r="CQ40" s="48"/>
      <c r="CR40" s="48"/>
      <c r="CS40" s="48"/>
      <c r="CT40" s="48"/>
      <c r="CV40" t="s">
        <v>152</v>
      </c>
    </row>
    <row r="41" spans="1:100" x14ac:dyDescent="0.25">
      <c r="A41" t="s">
        <v>47</v>
      </c>
      <c r="B41" s="37" t="s">
        <v>140</v>
      </c>
      <c r="C41" s="36"/>
      <c r="D41" s="36"/>
      <c r="E41" s="48"/>
      <c r="F41" s="48"/>
      <c r="G41" s="48"/>
      <c r="H41" s="48"/>
      <c r="I41" s="36"/>
      <c r="J41" s="36"/>
      <c r="K41" s="48"/>
      <c r="L41" s="48"/>
      <c r="M41" s="48"/>
      <c r="N41" s="48"/>
      <c r="O41" s="36"/>
      <c r="P41" s="36"/>
      <c r="Q41" s="48"/>
      <c r="R41" s="48"/>
      <c r="S41" s="48"/>
      <c r="T41" s="48"/>
      <c r="U41" s="36"/>
      <c r="V41" s="36"/>
      <c r="W41" s="48"/>
      <c r="X41" s="48"/>
      <c r="Y41" s="48"/>
      <c r="Z41" s="48"/>
      <c r="AA41" s="36"/>
      <c r="AB41" s="36"/>
      <c r="AC41" s="48"/>
      <c r="AD41" s="48"/>
      <c r="AE41" s="48"/>
      <c r="AF41" s="48"/>
      <c r="AG41" s="36"/>
      <c r="AH41" s="36"/>
      <c r="AI41" s="48"/>
      <c r="AJ41" s="48"/>
      <c r="AK41" s="48"/>
      <c r="AL41" s="48"/>
      <c r="AM41" s="36"/>
      <c r="AN41" s="36"/>
      <c r="AO41" s="48"/>
      <c r="AP41" s="48"/>
      <c r="AQ41" s="48"/>
      <c r="AR41" s="48"/>
      <c r="AS41" s="36"/>
      <c r="AT41" s="36"/>
      <c r="AU41" s="48"/>
      <c r="AV41" s="48"/>
      <c r="AW41" s="48"/>
      <c r="AX41" s="48"/>
      <c r="AY41" s="36" t="e">
        <f>hvac!U16</f>
        <v>#DIV/0!</v>
      </c>
      <c r="AZ41" s="36" t="e">
        <f>hvac!V16</f>
        <v>#DIV/0!</v>
      </c>
      <c r="BA41" s="48">
        <f>hvac!W16</f>
        <v>0</v>
      </c>
      <c r="BB41" s="54">
        <f>hvac!S16</f>
        <v>0</v>
      </c>
      <c r="BC41" s="48">
        <f>hvac!G16</f>
        <v>0</v>
      </c>
      <c r="BD41" s="48">
        <f>hvac!H16</f>
        <v>0</v>
      </c>
      <c r="BE41" s="36" t="e">
        <f>hvac!U17</f>
        <v>#DIV/0!</v>
      </c>
      <c r="BF41" s="36" t="e">
        <f>hvac!V17</f>
        <v>#DIV/0!</v>
      </c>
      <c r="BG41" s="48">
        <f>hvac!W17</f>
        <v>0</v>
      </c>
      <c r="BH41" s="54">
        <f>hvac!S17</f>
        <v>0</v>
      </c>
      <c r="BI41" s="48">
        <f>hvac!G17</f>
        <v>0</v>
      </c>
      <c r="BJ41" s="48">
        <f>hvac!H17</f>
        <v>0</v>
      </c>
      <c r="BK41" s="36" t="e">
        <f>hvac!U18</f>
        <v>#DIV/0!</v>
      </c>
      <c r="BL41" s="36" t="e">
        <f>hvac!V18</f>
        <v>#DIV/0!</v>
      </c>
      <c r="BM41" s="48">
        <f>hvac!W18</f>
        <v>0</v>
      </c>
      <c r="BN41" s="54">
        <f>hvac!S18</f>
        <v>0</v>
      </c>
      <c r="BO41" s="48">
        <f>hvac!G18</f>
        <v>0</v>
      </c>
      <c r="BP41" s="48">
        <f>hvac!H18</f>
        <v>0</v>
      </c>
      <c r="BQ41" s="36" t="e">
        <f>hvac!U19</f>
        <v>#DIV/0!</v>
      </c>
      <c r="BR41" s="36" t="e">
        <f>hvac!V19</f>
        <v>#DIV/0!</v>
      </c>
      <c r="BS41" s="48">
        <f>hvac!W19</f>
        <v>0</v>
      </c>
      <c r="BT41" s="54">
        <f>hvac!S19</f>
        <v>0</v>
      </c>
      <c r="BU41" s="48">
        <f>hvac!G19</f>
        <v>0</v>
      </c>
      <c r="BV41" s="48">
        <f>hvac!H19</f>
        <v>0</v>
      </c>
      <c r="BW41" s="36"/>
      <c r="BX41" s="36"/>
      <c r="BY41" s="48"/>
      <c r="BZ41" s="48"/>
      <c r="CA41" s="48"/>
      <c r="CB41" s="48"/>
      <c r="CC41" s="36"/>
      <c r="CD41" s="36"/>
      <c r="CE41" s="48"/>
      <c r="CF41" s="48"/>
      <c r="CG41" s="48"/>
      <c r="CH41" s="48"/>
      <c r="CI41" s="36"/>
      <c r="CJ41" s="36"/>
      <c r="CK41" s="48"/>
      <c r="CL41" s="48"/>
      <c r="CM41" s="48"/>
      <c r="CN41" s="48"/>
      <c r="CO41" s="36"/>
      <c r="CP41" s="36"/>
      <c r="CQ41" s="48"/>
      <c r="CR41" s="48"/>
      <c r="CS41" s="48"/>
      <c r="CT41" s="48"/>
      <c r="CV41" t="s">
        <v>153</v>
      </c>
    </row>
    <row r="42" spans="1:100" x14ac:dyDescent="0.25">
      <c r="B42" s="37" t="s">
        <v>141</v>
      </c>
      <c r="C42" s="36"/>
      <c r="D42" s="36"/>
      <c r="E42" s="48"/>
      <c r="F42" s="48"/>
      <c r="G42" s="48"/>
      <c r="H42" s="48"/>
      <c r="I42" s="36"/>
      <c r="J42" s="36"/>
      <c r="K42" s="48"/>
      <c r="L42" s="48"/>
      <c r="M42" s="48"/>
      <c r="N42" s="48"/>
      <c r="O42" s="36"/>
      <c r="P42" s="36"/>
      <c r="Q42" s="48"/>
      <c r="R42" s="48"/>
      <c r="S42" s="48"/>
      <c r="T42" s="48"/>
      <c r="U42" s="36"/>
      <c r="V42" s="36"/>
      <c r="W42" s="48"/>
      <c r="X42" s="48"/>
      <c r="Y42" s="48"/>
      <c r="Z42" s="48"/>
      <c r="AA42" s="36"/>
      <c r="AB42" s="36"/>
      <c r="AC42" s="48"/>
      <c r="AD42" s="48"/>
      <c r="AE42" s="48"/>
      <c r="AF42" s="48"/>
      <c r="AG42" s="36"/>
      <c r="AH42" s="36"/>
      <c r="AI42" s="48"/>
      <c r="AJ42" s="48"/>
      <c r="AK42" s="48"/>
      <c r="AL42" s="48"/>
      <c r="AM42" s="36"/>
      <c r="AN42" s="36"/>
      <c r="AO42" s="48"/>
      <c r="AP42" s="48"/>
      <c r="AQ42" s="48"/>
      <c r="AR42" s="48"/>
      <c r="AS42" s="36"/>
      <c r="AT42" s="36"/>
      <c r="AU42" s="48"/>
      <c r="AV42" s="48"/>
      <c r="AW42" s="48"/>
      <c r="AX42" s="48"/>
      <c r="AY42" s="36" t="e">
        <f>hvac!U20</f>
        <v>#DIV/0!</v>
      </c>
      <c r="AZ42" s="36" t="e">
        <f>hvac!V20</f>
        <v>#DIV/0!</v>
      </c>
      <c r="BA42" s="48">
        <f>hvac!W20</f>
        <v>0</v>
      </c>
      <c r="BB42" s="54">
        <f>hvac!S20</f>
        <v>0</v>
      </c>
      <c r="BC42" s="48">
        <f>hvac!G20</f>
        <v>0</v>
      </c>
      <c r="BD42" s="48">
        <f>hvac!H20</f>
        <v>0</v>
      </c>
      <c r="BE42" s="36" t="e">
        <f>hvac!U21</f>
        <v>#DIV/0!</v>
      </c>
      <c r="BF42" s="36" t="e">
        <f>hvac!V21</f>
        <v>#DIV/0!</v>
      </c>
      <c r="BG42" s="48">
        <f>hvac!W21</f>
        <v>0</v>
      </c>
      <c r="BH42" s="54">
        <f>hvac!S21</f>
        <v>0</v>
      </c>
      <c r="BI42" s="48">
        <f>hvac!G21</f>
        <v>0</v>
      </c>
      <c r="BJ42" s="48">
        <f>hvac!H21</f>
        <v>0</v>
      </c>
      <c r="BK42" s="36" t="e">
        <f>hvac!U9</f>
        <v>#DIV/0!</v>
      </c>
      <c r="BL42" s="36" t="e">
        <f>hvac!V9</f>
        <v>#DIV/0!</v>
      </c>
      <c r="BM42" s="72">
        <f>hvac!W9</f>
        <v>0</v>
      </c>
      <c r="BN42" s="54">
        <f>hvac!S9</f>
        <v>0</v>
      </c>
      <c r="BO42" s="48">
        <f>hvac!G9</f>
        <v>0</v>
      </c>
      <c r="BP42" s="48">
        <f>hvac!H9</f>
        <v>0</v>
      </c>
      <c r="BQ42" s="36" t="e">
        <f>hvac!U10</f>
        <v>#DIV/0!</v>
      </c>
      <c r="BR42" s="36" t="e">
        <f>hvac!V10</f>
        <v>#DIV/0!</v>
      </c>
      <c r="BS42" s="72">
        <f>hvac!W10</f>
        <v>0</v>
      </c>
      <c r="BT42" s="54">
        <f>hvac!S10</f>
        <v>0</v>
      </c>
      <c r="BU42" s="48">
        <f>hvac!G10</f>
        <v>0</v>
      </c>
      <c r="BV42" s="48">
        <f>hvac!H10</f>
        <v>0</v>
      </c>
      <c r="BW42" s="36"/>
      <c r="BX42" s="36"/>
      <c r="BY42" s="48"/>
      <c r="BZ42" s="48"/>
      <c r="CA42" s="48"/>
      <c r="CB42" s="48"/>
      <c r="CC42" s="36"/>
      <c r="CD42" s="36"/>
      <c r="CE42" s="48"/>
      <c r="CF42" s="48"/>
      <c r="CG42" s="48"/>
      <c r="CH42" s="48"/>
      <c r="CI42" s="36"/>
      <c r="CJ42" s="36"/>
      <c r="CK42" s="48"/>
      <c r="CL42" s="48"/>
      <c r="CM42" s="48"/>
      <c r="CN42" s="48"/>
      <c r="CO42" s="36"/>
      <c r="CP42" s="36"/>
      <c r="CQ42" s="48"/>
      <c r="CR42" s="48"/>
      <c r="CS42" s="48"/>
      <c r="CT42" s="48"/>
      <c r="CV42" t="s">
        <v>154</v>
      </c>
    </row>
    <row r="43" spans="1:100" x14ac:dyDescent="0.25">
      <c r="B43" s="37" t="s">
        <v>142</v>
      </c>
      <c r="C43" s="36"/>
      <c r="D43" s="36"/>
      <c r="E43" s="48"/>
      <c r="F43" s="48"/>
      <c r="G43" s="48"/>
      <c r="H43" s="48"/>
      <c r="I43" s="36"/>
      <c r="J43" s="36"/>
      <c r="K43" s="48"/>
      <c r="L43" s="48"/>
      <c r="M43" s="48"/>
      <c r="N43" s="48"/>
      <c r="O43" s="36"/>
      <c r="P43" s="36"/>
      <c r="Q43" s="48"/>
      <c r="R43" s="48"/>
      <c r="S43" s="48"/>
      <c r="T43" s="48"/>
      <c r="U43" s="36"/>
      <c r="V43" s="36"/>
      <c r="W43" s="48"/>
      <c r="X43" s="48"/>
      <c r="Y43" s="48"/>
      <c r="Z43" s="48"/>
      <c r="AA43" s="36"/>
      <c r="AB43" s="36"/>
      <c r="AC43" s="48"/>
      <c r="AD43" s="48"/>
      <c r="AE43" s="48"/>
      <c r="AF43" s="48"/>
      <c r="AG43" s="36"/>
      <c r="AH43" s="36"/>
      <c r="AI43" s="48"/>
      <c r="AJ43" s="48"/>
      <c r="AK43" s="48"/>
      <c r="AL43" s="48"/>
      <c r="AM43" s="36"/>
      <c r="AN43" s="36"/>
      <c r="AO43" s="48"/>
      <c r="AP43" s="48"/>
      <c r="AQ43" s="48"/>
      <c r="AR43" s="48"/>
      <c r="AS43" s="36"/>
      <c r="AT43" s="36"/>
      <c r="AU43" s="48"/>
      <c r="AV43" s="48"/>
      <c r="AW43" s="48"/>
      <c r="AX43" s="48"/>
      <c r="AY43" s="36"/>
      <c r="AZ43" s="36"/>
      <c r="BA43" s="48"/>
      <c r="BB43" s="48"/>
      <c r="BC43" s="48"/>
      <c r="BD43" s="48"/>
      <c r="BE43" s="36"/>
      <c r="BF43" s="36"/>
      <c r="BG43" s="48"/>
      <c r="BH43" s="48"/>
      <c r="BI43" s="48"/>
      <c r="BJ43" s="48"/>
      <c r="BK43" s="36"/>
      <c r="BL43" s="36"/>
      <c r="BM43" s="48"/>
      <c r="BN43" s="48"/>
      <c r="BO43" s="48"/>
      <c r="BP43" s="48"/>
      <c r="BQ43" s="36"/>
      <c r="BR43" s="36"/>
      <c r="BS43" s="48"/>
      <c r="BT43" s="48"/>
      <c r="BU43" s="48"/>
      <c r="BV43" s="48"/>
      <c r="BW43" s="36" t="e">
        <f>hvac!U28</f>
        <v>#DIV/0!</v>
      </c>
      <c r="BX43" s="36" t="e">
        <f>hvac!V28</f>
        <v>#DIV/0!</v>
      </c>
      <c r="BY43" s="48">
        <f>hvac!W28</f>
        <v>0</v>
      </c>
      <c r="BZ43" s="54">
        <f>hvac!S28</f>
        <v>0</v>
      </c>
      <c r="CA43" s="48">
        <f>hvac!G28</f>
        <v>0</v>
      </c>
      <c r="CB43" s="48">
        <f>hvac!H28</f>
        <v>0</v>
      </c>
      <c r="CC43" s="36" t="e">
        <f>hvac!U30</f>
        <v>#DIV/0!</v>
      </c>
      <c r="CD43" s="36" t="e">
        <f>hvac!V30</f>
        <v>#DIV/0!</v>
      </c>
      <c r="CE43" s="48">
        <f>hvac!W30</f>
        <v>0</v>
      </c>
      <c r="CF43" s="54">
        <f>hvac!S30</f>
        <v>0</v>
      </c>
      <c r="CG43" s="48">
        <f>hvac!G30</f>
        <v>0</v>
      </c>
      <c r="CH43" s="48">
        <f>hvac!H30</f>
        <v>0</v>
      </c>
      <c r="CI43" s="36" t="e">
        <f>hvac!U32</f>
        <v>#DIV/0!</v>
      </c>
      <c r="CJ43" s="36" t="e">
        <f>hvac!V32</f>
        <v>#DIV/0!</v>
      </c>
      <c r="CK43" s="48">
        <f>hvac!W32</f>
        <v>0</v>
      </c>
      <c r="CL43" s="54">
        <f>hvac!S32</f>
        <v>0</v>
      </c>
      <c r="CM43" s="48">
        <f>hvac!G32</f>
        <v>0</v>
      </c>
      <c r="CN43" s="48">
        <f>hvac!H32</f>
        <v>0</v>
      </c>
      <c r="CO43" s="36" t="e">
        <f>hvac!U34</f>
        <v>#DIV/0!</v>
      </c>
      <c r="CP43" s="36" t="e">
        <f>hvac!V34</f>
        <v>#DIV/0!</v>
      </c>
      <c r="CQ43" s="48">
        <f>hvac!W34</f>
        <v>0</v>
      </c>
      <c r="CR43" s="54">
        <f>hvac!S34</f>
        <v>0</v>
      </c>
      <c r="CS43" s="48">
        <f>hvac!G34</f>
        <v>0</v>
      </c>
      <c r="CT43" s="48">
        <f>hvac!H34</f>
        <v>0</v>
      </c>
      <c r="CV43" t="s">
        <v>155</v>
      </c>
    </row>
    <row r="44" spans="1:100" x14ac:dyDescent="0.25">
      <c r="B44" s="37" t="s">
        <v>143</v>
      </c>
      <c r="C44" s="36"/>
      <c r="D44" s="36"/>
      <c r="E44" s="48"/>
      <c r="F44" s="48"/>
      <c r="G44" s="48"/>
      <c r="H44" s="48"/>
      <c r="I44" s="36"/>
      <c r="J44" s="36"/>
      <c r="K44" s="48"/>
      <c r="L44" s="48"/>
      <c r="M44" s="48"/>
      <c r="N44" s="48"/>
      <c r="O44" s="36"/>
      <c r="P44" s="36"/>
      <c r="Q44" s="48"/>
      <c r="R44" s="48"/>
      <c r="S44" s="48"/>
      <c r="T44" s="48"/>
      <c r="U44" s="36"/>
      <c r="V44" s="36"/>
      <c r="W44" s="48"/>
      <c r="X44" s="48"/>
      <c r="Y44" s="48"/>
      <c r="Z44" s="48"/>
      <c r="AA44" s="36"/>
      <c r="AB44" s="36"/>
      <c r="AC44" s="48"/>
      <c r="AD44" s="48"/>
      <c r="AE44" s="48"/>
      <c r="AF44" s="48"/>
      <c r="AG44" s="36"/>
      <c r="AH44" s="36"/>
      <c r="AI44" s="48"/>
      <c r="AJ44" s="48"/>
      <c r="AK44" s="48"/>
      <c r="AL44" s="48"/>
      <c r="AM44" s="36"/>
      <c r="AN44" s="36"/>
      <c r="AO44" s="48"/>
      <c r="AP44" s="48"/>
      <c r="AQ44" s="48"/>
      <c r="AR44" s="48"/>
      <c r="AS44" s="36"/>
      <c r="AT44" s="36"/>
      <c r="AU44" s="48"/>
      <c r="AV44" s="48"/>
      <c r="AW44" s="48"/>
      <c r="AX44" s="48"/>
      <c r="AY44" s="36"/>
      <c r="AZ44" s="36"/>
      <c r="BA44" s="48"/>
      <c r="BB44" s="48"/>
      <c r="BC44" s="48"/>
      <c r="BD44" s="48"/>
      <c r="BE44" s="36"/>
      <c r="BF44" s="36"/>
      <c r="BG44" s="48"/>
      <c r="BH44" s="48"/>
      <c r="BI44" s="48"/>
      <c r="BJ44" s="48"/>
      <c r="BK44" s="36"/>
      <c r="BL44" s="36"/>
      <c r="BM44" s="48"/>
      <c r="BN44" s="48"/>
      <c r="BO44" s="48"/>
      <c r="BP44" s="48"/>
      <c r="BQ44" s="36"/>
      <c r="BR44" s="36"/>
      <c r="BS44" s="48"/>
      <c r="BT44" s="48"/>
      <c r="BU44" s="48"/>
      <c r="BV44" s="48"/>
      <c r="BW44" s="36" t="e">
        <f>hvac!U24</f>
        <v>#DIV/0!</v>
      </c>
      <c r="BX44" s="36" t="e">
        <f>hvac!V24</f>
        <v>#DIV/0!</v>
      </c>
      <c r="BY44" s="48">
        <f>hvac!W24</f>
        <v>0</v>
      </c>
      <c r="BZ44" s="54">
        <f>hvac!S24</f>
        <v>0</v>
      </c>
      <c r="CA44" s="48">
        <f>hvac!G24</f>
        <v>0</v>
      </c>
      <c r="CB44" s="48">
        <f>hvac!H24</f>
        <v>0</v>
      </c>
      <c r="CC44" s="36" t="e">
        <f>hvac!U25</f>
        <v>#DIV/0!</v>
      </c>
      <c r="CD44" s="36" t="e">
        <f>hvac!V25</f>
        <v>#DIV/0!</v>
      </c>
      <c r="CE44" s="48">
        <f>hvac!W25</f>
        <v>0</v>
      </c>
      <c r="CF44" s="54">
        <f>hvac!S25</f>
        <v>0</v>
      </c>
      <c r="CG44" s="48">
        <f>hvac!G25</f>
        <v>0</v>
      </c>
      <c r="CH44" s="48">
        <f>hvac!H25</f>
        <v>0</v>
      </c>
      <c r="CI44" s="36" t="e">
        <f>hvac!U26</f>
        <v>#DIV/0!</v>
      </c>
      <c r="CJ44" s="36" t="e">
        <f>hvac!V26</f>
        <v>#DIV/0!</v>
      </c>
      <c r="CK44" s="48">
        <f>hvac!W26</f>
        <v>0</v>
      </c>
      <c r="CL44" s="54">
        <f>hvac!S26</f>
        <v>0</v>
      </c>
      <c r="CM44" s="48">
        <f>hvac!G26</f>
        <v>0</v>
      </c>
      <c r="CN44" s="48">
        <f>hvac!H26</f>
        <v>0</v>
      </c>
      <c r="CO44" s="36" t="e">
        <f>hvac!U27</f>
        <v>#DIV/0!</v>
      </c>
      <c r="CP44" s="36" t="e">
        <f>hvac!V27</f>
        <v>#DIV/0!</v>
      </c>
      <c r="CQ44" s="48">
        <f>hvac!W27</f>
        <v>0</v>
      </c>
      <c r="CR44" s="54">
        <f>hvac!S27</f>
        <v>0</v>
      </c>
      <c r="CS44" s="48">
        <f>hvac!G27</f>
        <v>0</v>
      </c>
      <c r="CT44" s="48">
        <f>hvac!H27</f>
        <v>0</v>
      </c>
      <c r="CV44" t="s">
        <v>157</v>
      </c>
    </row>
    <row r="45" spans="1:100" x14ac:dyDescent="0.25">
      <c r="CV45" t="s">
        <v>156</v>
      </c>
    </row>
    <row r="46" spans="1:100" x14ac:dyDescent="0.25">
      <c r="CV46" t="s">
        <v>158</v>
      </c>
    </row>
    <row r="47" spans="1:100" x14ac:dyDescent="0.25">
      <c r="CV47" t="s">
        <v>159</v>
      </c>
    </row>
    <row r="48" spans="1:100" x14ac:dyDescent="0.25">
      <c r="CV48" t="s">
        <v>160</v>
      </c>
    </row>
    <row r="49" spans="100:100" x14ac:dyDescent="0.25">
      <c r="CV49" t="s">
        <v>161</v>
      </c>
    </row>
    <row r="50" spans="100:100" x14ac:dyDescent="0.25">
      <c r="CV50" t="s">
        <v>162</v>
      </c>
    </row>
    <row r="51" spans="100:100" x14ac:dyDescent="0.25">
      <c r="CV51" t="s">
        <v>163</v>
      </c>
    </row>
    <row r="85" spans="82:82" x14ac:dyDescent="0.25">
      <c r="CD85" s="27"/>
    </row>
    <row r="86" spans="82:82" x14ac:dyDescent="0.25">
      <c r="CD86" s="55"/>
    </row>
  </sheetData>
  <sheetProtection algorithmName="SHA-512" hashValue="i77Cis13G8y7buOj6QaaW3CH2CkPrp6XaeMGz11p6enlGXeNa1CrnpcACBIhxlrk1GE53/bKHdGEnUt6b1ku5Q==" saltValue="eMKjVCkeCgBHLFmk0g2olA==" spinCount="100000" sheet="1" objects="1" scenarios="1"/>
  <sortState xmlns:xlrd2="http://schemas.microsoft.com/office/spreadsheetml/2017/richdata2" ref="BL19:BL38">
    <sortCondition ref="BL19:BL3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9935-968B-4424-86D5-6FECC9654083}">
  <sheetPr codeName="Sheet9">
    <tabColor theme="7" tint="0.79998168889431442"/>
  </sheetPr>
  <dimension ref="B2:N52"/>
  <sheetViews>
    <sheetView topLeftCell="F1" zoomScaleNormal="100" workbookViewId="0">
      <selection activeCell="K16" sqref="K16"/>
    </sheetView>
  </sheetViews>
  <sheetFormatPr defaultRowHeight="15" x14ac:dyDescent="0.25"/>
  <cols>
    <col min="1" max="1" width="3.140625" customWidth="1"/>
    <col min="2" max="2" width="17.140625" bestFit="1" customWidth="1"/>
    <col min="3" max="3" width="57" bestFit="1" customWidth="1"/>
    <col min="4" max="4" width="54.140625" customWidth="1"/>
    <col min="5" max="5" width="36.85546875" bestFit="1" customWidth="1"/>
    <col min="6" max="6" width="51.5703125" bestFit="1" customWidth="1"/>
    <col min="8" max="8" width="21" customWidth="1"/>
    <col min="9" max="9" width="12.7109375" bestFit="1" customWidth="1"/>
    <col min="10" max="10" width="25.28515625" bestFit="1" customWidth="1"/>
    <col min="11" max="11" width="45.28515625" bestFit="1" customWidth="1"/>
    <col min="12" max="12" width="41.5703125" bestFit="1" customWidth="1"/>
    <col min="13" max="13" width="43.42578125" bestFit="1" customWidth="1"/>
    <col min="14" max="14" width="44.140625" bestFit="1" customWidth="1"/>
  </cols>
  <sheetData>
    <row r="2" spans="2:14" x14ac:dyDescent="0.25">
      <c r="B2" s="42" t="s">
        <v>53</v>
      </c>
      <c r="C2" s="35" t="s">
        <v>58</v>
      </c>
      <c r="D2" s="35" t="s">
        <v>57</v>
      </c>
      <c r="E2" s="35" t="s">
        <v>67</v>
      </c>
      <c r="F2" s="35" t="s">
        <v>65</v>
      </c>
      <c r="I2" s="35" t="s">
        <v>0</v>
      </c>
      <c r="J2" s="35" t="s">
        <v>1</v>
      </c>
      <c r="K2" s="35" t="s">
        <v>54</v>
      </c>
      <c r="L2" s="35" t="s">
        <v>3</v>
      </c>
      <c r="M2" s="35" t="s">
        <v>53</v>
      </c>
      <c r="N2" s="35" t="s">
        <v>4</v>
      </c>
    </row>
    <row r="3" spans="2:14" x14ac:dyDescent="0.25">
      <c r="C3" s="37" t="s">
        <v>26</v>
      </c>
      <c r="D3" s="37" t="s">
        <v>27</v>
      </c>
      <c r="E3" s="37" t="s">
        <v>27</v>
      </c>
      <c r="F3" s="37" t="s">
        <v>297</v>
      </c>
      <c r="H3" s="35" t="s">
        <v>5</v>
      </c>
      <c r="I3" s="37">
        <f>'Electrification Estimator'!D8</f>
        <v>0</v>
      </c>
      <c r="J3" s="37">
        <f>'Electrification Estimator'!D9</f>
        <v>0</v>
      </c>
      <c r="K3" s="37">
        <f>'Electrification Estimator'!D15</f>
        <v>0</v>
      </c>
      <c r="L3" s="37">
        <f>'Electrification Estimator'!E15</f>
        <v>0</v>
      </c>
      <c r="M3" s="37">
        <f>'Electrification Estimator'!F15</f>
        <v>0</v>
      </c>
      <c r="N3" s="37">
        <f>'Electrification Estimator'!G15</f>
        <v>0</v>
      </c>
    </row>
    <row r="4" spans="2:14" x14ac:dyDescent="0.25">
      <c r="C4" s="37" t="s">
        <v>316</v>
      </c>
      <c r="D4" t="s">
        <v>330</v>
      </c>
      <c r="E4" t="s">
        <v>330</v>
      </c>
      <c r="F4" s="37" t="s">
        <v>30</v>
      </c>
      <c r="I4" t="str">
        <f>IF(I3=0,"",IF(OR(I3=I8,I3=I9,I3=I10,I3=I11),"","Zip code not in SVP Territory"))</f>
        <v/>
      </c>
      <c r="K4" s="37">
        <f>'Electrification Estimator'!D16</f>
        <v>0</v>
      </c>
      <c r="L4" s="37">
        <f>'Electrification Estimator'!E16</f>
        <v>0</v>
      </c>
      <c r="M4" s="37">
        <f>'Electrification Estimator'!F16</f>
        <v>0</v>
      </c>
      <c r="N4" s="37">
        <f>'Electrification Estimator'!G16</f>
        <v>0</v>
      </c>
    </row>
    <row r="5" spans="2:14" x14ac:dyDescent="0.25">
      <c r="C5" s="37" t="s">
        <v>31</v>
      </c>
      <c r="D5" s="37" t="s">
        <v>297</v>
      </c>
      <c r="E5" s="37" t="s">
        <v>21</v>
      </c>
      <c r="F5" s="37" t="s">
        <v>21</v>
      </c>
      <c r="K5" s="37">
        <f>'Electrification Estimator'!D17</f>
        <v>0</v>
      </c>
      <c r="L5" s="37">
        <f>'Electrification Estimator'!E17</f>
        <v>0</v>
      </c>
      <c r="M5" s="37">
        <f>'Electrification Estimator'!F17</f>
        <v>0</v>
      </c>
      <c r="N5" s="37">
        <f>'Electrification Estimator'!G17</f>
        <v>0</v>
      </c>
    </row>
    <row r="6" spans="2:14" x14ac:dyDescent="0.25">
      <c r="D6" s="37" t="s">
        <v>30</v>
      </c>
      <c r="E6" s="35" t="s">
        <v>66</v>
      </c>
      <c r="F6" s="35" t="s">
        <v>68</v>
      </c>
      <c r="K6" s="4"/>
    </row>
    <row r="7" spans="2:14" x14ac:dyDescent="0.25">
      <c r="D7" s="37" t="s">
        <v>32</v>
      </c>
      <c r="E7" s="37" t="s">
        <v>32</v>
      </c>
      <c r="F7" t="b" cm="1">
        <f t="array" ref="F7">IF($M$3="Electric",lookup!$L$8,IF(matrix!$K$3="Natural Gas Cooktop",lookup!$E$3:$E$5,IF(matrix!$K$3="Natural Gas Range (Cooktop + Oven)",lookup!$F$3:$F$5,IF(matrix!$K$3="Natural Gas Wall Oven",lookup!$E$7:$E$8))))</f>
        <v>0</v>
      </c>
    </row>
    <row r="8" spans="2:14" x14ac:dyDescent="0.25">
      <c r="D8" s="37" t="s">
        <v>21</v>
      </c>
      <c r="E8" s="37" t="s">
        <v>21</v>
      </c>
      <c r="H8" s="35" t="s">
        <v>6</v>
      </c>
      <c r="I8" s="37">
        <v>95050</v>
      </c>
      <c r="J8" s="37" t="s">
        <v>7</v>
      </c>
      <c r="K8" s="37" t="s">
        <v>8</v>
      </c>
      <c r="L8" s="37" t="s">
        <v>326</v>
      </c>
      <c r="M8" s="38" t="s">
        <v>114</v>
      </c>
    </row>
    <row r="9" spans="2:14" x14ac:dyDescent="0.25">
      <c r="I9" s="37">
        <v>95051</v>
      </c>
      <c r="J9" s="37" t="s">
        <v>18</v>
      </c>
      <c r="K9" s="12" t="s">
        <v>9</v>
      </c>
      <c r="M9" s="38" t="s">
        <v>115</v>
      </c>
    </row>
    <row r="10" spans="2:14" x14ac:dyDescent="0.25">
      <c r="B10" s="42" t="s">
        <v>4</v>
      </c>
      <c r="C10" s="35" t="s">
        <v>58</v>
      </c>
      <c r="D10" s="35" t="s">
        <v>57</v>
      </c>
      <c r="E10" s="35" t="s">
        <v>59</v>
      </c>
      <c r="F10" s="35" t="s">
        <v>68</v>
      </c>
      <c r="I10" s="37">
        <v>95052</v>
      </c>
      <c r="J10" s="37" t="s">
        <v>17</v>
      </c>
      <c r="K10" s="37" t="s">
        <v>218</v>
      </c>
    </row>
    <row r="11" spans="2:14" x14ac:dyDescent="0.25">
      <c r="C11" s="37" t="s">
        <v>23</v>
      </c>
      <c r="D11" s="37" t="s">
        <v>176</v>
      </c>
      <c r="E11" s="37" t="s">
        <v>64</v>
      </c>
      <c r="F11" s="37" t="str" cm="1">
        <f t="array" ref="F11">IF('Electrification Estimator'!G15="Electric",lookup!$E$11:$E$13,lookup!$C$11)</f>
        <v>Natural Gas Clothes Dryer</v>
      </c>
      <c r="I11" s="37">
        <v>95054</v>
      </c>
    </row>
    <row r="12" spans="2:14" x14ac:dyDescent="0.25">
      <c r="D12" s="37" t="s">
        <v>177</v>
      </c>
      <c r="E12" s="38" t="s">
        <v>63</v>
      </c>
      <c r="F12" s="37"/>
    </row>
    <row r="13" spans="2:14" x14ac:dyDescent="0.25">
      <c r="D13" s="37" t="s">
        <v>178</v>
      </c>
      <c r="E13" s="38" t="s">
        <v>62</v>
      </c>
      <c r="F13" s="37"/>
    </row>
    <row r="14" spans="2:14" x14ac:dyDescent="0.25">
      <c r="D14" s="37" t="s">
        <v>179</v>
      </c>
      <c r="H14" s="52" t="s">
        <v>167</v>
      </c>
      <c r="J14" t="s">
        <v>382</v>
      </c>
    </row>
    <row r="15" spans="2:14" x14ac:dyDescent="0.25">
      <c r="D15" s="37" t="s">
        <v>21</v>
      </c>
      <c r="H15" s="123" t="s">
        <v>37</v>
      </c>
      <c r="I15" s="122">
        <v>0.16600000000000001</v>
      </c>
      <c r="J15" s="137" t="s">
        <v>383</v>
      </c>
      <c r="K15" s="128" t="s">
        <v>395</v>
      </c>
    </row>
    <row r="16" spans="2:14" x14ac:dyDescent="0.25">
      <c r="D16" s="37"/>
      <c r="H16" s="123" t="s">
        <v>38</v>
      </c>
      <c r="I16" s="122">
        <v>2.62</v>
      </c>
      <c r="J16" t="s">
        <v>384</v>
      </c>
    </row>
    <row r="17" spans="2:10" x14ac:dyDescent="0.25">
      <c r="H17" s="124" t="s">
        <v>314</v>
      </c>
      <c r="I17" s="122">
        <v>9.2939999999999995E-2</v>
      </c>
      <c r="J17" s="137" t="s">
        <v>383</v>
      </c>
    </row>
    <row r="18" spans="2:10" x14ac:dyDescent="0.25">
      <c r="H18" s="124" t="s">
        <v>301</v>
      </c>
      <c r="I18" s="122">
        <v>4.68</v>
      </c>
      <c r="J18" s="137" t="s">
        <v>383</v>
      </c>
    </row>
    <row r="19" spans="2:10" x14ac:dyDescent="0.25">
      <c r="B19" s="42" t="s">
        <v>3</v>
      </c>
      <c r="C19" s="35" t="s">
        <v>58</v>
      </c>
      <c r="D19" s="35" t="s">
        <v>57</v>
      </c>
      <c r="E19" s="35" t="s">
        <v>59</v>
      </c>
    </row>
    <row r="20" spans="2:10" x14ac:dyDescent="0.25">
      <c r="C20" s="37" t="s">
        <v>185</v>
      </c>
      <c r="D20" s="37" t="s">
        <v>186</v>
      </c>
      <c r="E20" s="37" t="s">
        <v>60</v>
      </c>
      <c r="H20" s="43" t="s">
        <v>168</v>
      </c>
      <c r="I20" s="121">
        <f>'Electrification Estimator'!$F$8</f>
        <v>0</v>
      </c>
    </row>
    <row r="21" spans="2:10" x14ac:dyDescent="0.25">
      <c r="C21" s="37" t="s">
        <v>187</v>
      </c>
      <c r="D21" s="37" t="s">
        <v>188</v>
      </c>
      <c r="E21" s="37" t="s">
        <v>325</v>
      </c>
      <c r="H21" s="43" t="s">
        <v>300</v>
      </c>
      <c r="I21" s="121">
        <f>'Electrification Estimator'!$F$9</f>
        <v>0</v>
      </c>
    </row>
    <row r="22" spans="2:10" x14ac:dyDescent="0.25">
      <c r="C22" s="37" t="s">
        <v>189</v>
      </c>
      <c r="D22" s="37" t="s">
        <v>190</v>
      </c>
      <c r="E22" s="37" t="s">
        <v>61</v>
      </c>
    </row>
    <row r="23" spans="2:10" x14ac:dyDescent="0.25">
      <c r="C23" s="37" t="s">
        <v>191</v>
      </c>
      <c r="D23" s="37" t="s">
        <v>192</v>
      </c>
      <c r="H23" s="43" t="s">
        <v>53</v>
      </c>
      <c r="I23" s="51" t="str">
        <f>IFERROR(matrix!F3,"")</f>
        <v/>
      </c>
    </row>
    <row r="24" spans="2:10" x14ac:dyDescent="0.25">
      <c r="C24" s="37" t="s">
        <v>193</v>
      </c>
      <c r="D24" s="37" t="s">
        <v>21</v>
      </c>
      <c r="H24" s="43" t="s">
        <v>4</v>
      </c>
      <c r="I24" s="51" t="str">
        <f>IFERROR(matrix!F4,"")</f>
        <v/>
      </c>
    </row>
    <row r="25" spans="2:10" x14ac:dyDescent="0.25">
      <c r="C25" s="37" t="s">
        <v>194</v>
      </c>
      <c r="H25" s="43" t="s">
        <v>3</v>
      </c>
      <c r="I25" s="51" t="str">
        <f>IFERROR(matrix!F5,"")</f>
        <v/>
      </c>
    </row>
    <row r="26" spans="2:10" x14ac:dyDescent="0.25">
      <c r="H26" s="43" t="s">
        <v>54</v>
      </c>
      <c r="I26" s="51" t="str">
        <f>IFERROR(matrix!F6,"")</f>
        <v/>
      </c>
    </row>
    <row r="27" spans="2:10" x14ac:dyDescent="0.25">
      <c r="H27" s="43" t="s">
        <v>245</v>
      </c>
      <c r="I27" s="51">
        <f>-SUM(I23:I26)</f>
        <v>0</v>
      </c>
    </row>
    <row r="28" spans="2:10" x14ac:dyDescent="0.25">
      <c r="H28" s="43" t="s">
        <v>247</v>
      </c>
      <c r="I28" s="53">
        <f>I27/12</f>
        <v>0</v>
      </c>
    </row>
    <row r="29" spans="2:10" x14ac:dyDescent="0.25">
      <c r="B29" s="42" t="s">
        <v>54</v>
      </c>
      <c r="C29" s="35" t="s">
        <v>58</v>
      </c>
      <c r="D29" s="35" t="s">
        <v>57</v>
      </c>
      <c r="E29" s="35" t="s">
        <v>59</v>
      </c>
      <c r="F29" s="35" t="s">
        <v>118</v>
      </c>
      <c r="H29" s="43" t="s">
        <v>249</v>
      </c>
      <c r="I29" s="53">
        <f>'Electrification Estimator'!D10+lookup!I28</f>
        <v>0</v>
      </c>
    </row>
    <row r="30" spans="2:10" x14ac:dyDescent="0.25">
      <c r="C30" s="37" t="s">
        <v>118</v>
      </c>
      <c r="D30" s="37" t="s">
        <v>122</v>
      </c>
      <c r="E30" s="37" t="s">
        <v>101</v>
      </c>
      <c r="F30" s="37" t="s">
        <v>122</v>
      </c>
      <c r="H30" s="43" t="s">
        <v>248</v>
      </c>
      <c r="I30" s="37" t="str">
        <f>IFERROR(IF(I29&lt;0,I29/I15,""),"")</f>
        <v/>
      </c>
    </row>
    <row r="31" spans="2:10" x14ac:dyDescent="0.25">
      <c r="C31" s="37" t="s">
        <v>119</v>
      </c>
      <c r="D31" s="37" t="s">
        <v>123</v>
      </c>
      <c r="E31" s="37" t="s">
        <v>100</v>
      </c>
      <c r="F31" s="37" t="s">
        <v>123</v>
      </c>
      <c r="H31" s="35" t="s">
        <v>246</v>
      </c>
      <c r="I31" s="51">
        <f>IF(SUM(I23:I26)=0,0,IF(I20=M9,I29,IF(AND(I21=M9,I20=M8,I29&lt;I18),I18,IF(AND(I21=M8,I29&lt;0),I17*I30,I29))))</f>
        <v>0</v>
      </c>
    </row>
    <row r="32" spans="2:10" x14ac:dyDescent="0.25">
      <c r="C32" s="37" t="s">
        <v>121</v>
      </c>
      <c r="D32" s="37" t="s">
        <v>124</v>
      </c>
      <c r="E32" s="37" t="s">
        <v>99</v>
      </c>
      <c r="F32" s="37" t="s">
        <v>124</v>
      </c>
    </row>
    <row r="33" spans="3:6" x14ac:dyDescent="0.25">
      <c r="C33" s="37" t="s">
        <v>120</v>
      </c>
      <c r="D33" s="37" t="s">
        <v>125</v>
      </c>
      <c r="E33" s="37" t="s">
        <v>289</v>
      </c>
      <c r="F33" s="37" t="s">
        <v>125</v>
      </c>
    </row>
    <row r="34" spans="3:6" x14ac:dyDescent="0.25">
      <c r="D34" s="37" t="s">
        <v>129</v>
      </c>
      <c r="F34" s="37" t="s">
        <v>21</v>
      </c>
    </row>
    <row r="35" spans="3:6" x14ac:dyDescent="0.25">
      <c r="D35" s="37" t="s">
        <v>128</v>
      </c>
      <c r="F35" s="35" t="s">
        <v>119</v>
      </c>
    </row>
    <row r="36" spans="3:6" x14ac:dyDescent="0.25">
      <c r="D36" s="37" t="s">
        <v>127</v>
      </c>
      <c r="F36" s="37" t="s">
        <v>122</v>
      </c>
    </row>
    <row r="37" spans="3:6" x14ac:dyDescent="0.25">
      <c r="D37" s="37" t="s">
        <v>126</v>
      </c>
      <c r="F37" s="37" t="s">
        <v>123</v>
      </c>
    </row>
    <row r="38" spans="3:6" x14ac:dyDescent="0.25">
      <c r="E38" t="b" cm="1">
        <f t="array" ref="E38">IF($D$16="Electric",lookup!$L$8,IF(OR(matrix!$K$6=lookup!C30,matrix!$K$6=lookup!C31),lookup!$F$30:$F$34,IF(OR(matrix!$K$6=lookup!C32,matrix!$K$6=lookup!C33),lookup!$F$42:$F$46)))</f>
        <v>0</v>
      </c>
      <c r="F38" s="37" t="s">
        <v>124</v>
      </c>
    </row>
    <row r="39" spans="3:6" x14ac:dyDescent="0.25">
      <c r="F39" s="37" t="s">
        <v>125</v>
      </c>
    </row>
    <row r="40" spans="3:6" x14ac:dyDescent="0.25">
      <c r="F40" s="37" t="s">
        <v>21</v>
      </c>
    </row>
    <row r="41" spans="3:6" x14ac:dyDescent="0.25">
      <c r="C41" t="b" cm="1">
        <f t="array" ref="C41">IF('Electrification Estimator'!$D$15="Electric",lookup!$L$8,IF(OR(matrix!$K$6=lookup!C30,matrix!$K$6=lookup!C31),lookup!$F$30:$F$34,IF(OR(matrix!$K$6=lookup!C32,matrix!$K$6=lookup!C33),lookup!$F$42:$F$46)))</f>
        <v>0</v>
      </c>
      <c r="F41" s="35" t="s">
        <v>121</v>
      </c>
    </row>
    <row r="42" spans="3:6" x14ac:dyDescent="0.25">
      <c r="F42" s="37" t="s">
        <v>129</v>
      </c>
    </row>
    <row r="43" spans="3:6" x14ac:dyDescent="0.25">
      <c r="F43" s="37" t="s">
        <v>128</v>
      </c>
    </row>
    <row r="44" spans="3:6" x14ac:dyDescent="0.25">
      <c r="F44" s="37" t="s">
        <v>127</v>
      </c>
    </row>
    <row r="45" spans="3:6" x14ac:dyDescent="0.25">
      <c r="F45" s="37" t="s">
        <v>126</v>
      </c>
    </row>
    <row r="46" spans="3:6" x14ac:dyDescent="0.25">
      <c r="F46" s="37" t="s">
        <v>21</v>
      </c>
    </row>
    <row r="47" spans="3:6" x14ac:dyDescent="0.25">
      <c r="F47" s="35" t="s">
        <v>120</v>
      </c>
    </row>
    <row r="48" spans="3:6" x14ac:dyDescent="0.25">
      <c r="F48" s="37" t="s">
        <v>129</v>
      </c>
    </row>
    <row r="49" spans="6:6" x14ac:dyDescent="0.25">
      <c r="F49" s="37" t="s">
        <v>128</v>
      </c>
    </row>
    <row r="50" spans="6:6" x14ac:dyDescent="0.25">
      <c r="F50" s="37" t="s">
        <v>127</v>
      </c>
    </row>
    <row r="51" spans="6:6" x14ac:dyDescent="0.25">
      <c r="F51" s="37" t="s">
        <v>126</v>
      </c>
    </row>
    <row r="52" spans="6:6" x14ac:dyDescent="0.25">
      <c r="F52" s="37" t="s">
        <v>21</v>
      </c>
    </row>
  </sheetData>
  <sheetProtection algorithmName="SHA-512" hashValue="Fmdb7COwu9R7jgnxYg3KR/96WbQBZr0YydWTUIEClRB/fYJWOQ6QaQsfXOXbsKmdmS1AVWs/WPgKRCdf8ZuiUg==" saltValue="BiQe/cGoWcQS2WWcNWswug==" spinCount="100000" sheet="1" objects="1" scenarios="1"/>
  <phoneticPr fontId="3" type="noConversion"/>
  <hyperlinks>
    <hyperlink ref="H15" r:id="rId1" xr:uid="{5326FF64-215F-48D0-A29B-FC7D30F89A65}"/>
    <hyperlink ref="H16" r:id="rId2" xr:uid="{191151C4-8354-475F-9A76-17A8DE2CF978}"/>
    <hyperlink ref="H17" r:id="rId3" display="Excess Energy Rate" xr:uid="{8773EBFA-2FC9-4663-8F56-ABF08D22F529}"/>
    <hyperlink ref="H18" r:id="rId4" xr:uid="{F6280DA4-54D6-43E9-91D3-D463530C000C}"/>
  </hyperlinks>
  <pageMargins left="0.7" right="0.7" top="0.75" bottom="0.75" header="0.3" footer="0.3"/>
  <pageSetup orientation="portrait" horizontalDpi="1200" verticalDpi="12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1EDC-4D6F-43C8-8406-64F1E37875B6}">
  <sheetPr codeName="Sheet13">
    <tabColor theme="7" tint="0.79998168889431442"/>
    <pageSetUpPr autoPageBreaks="0"/>
  </sheetPr>
  <dimension ref="A1:AF88"/>
  <sheetViews>
    <sheetView zoomScale="85" zoomScaleNormal="85" workbookViewId="0">
      <selection activeCell="E31" sqref="E31"/>
    </sheetView>
  </sheetViews>
  <sheetFormatPr defaultRowHeight="15" x14ac:dyDescent="0.25"/>
  <cols>
    <col min="1" max="1" width="17.28515625" bestFit="1" customWidth="1"/>
    <col min="2" max="2" width="12" bestFit="1" customWidth="1"/>
    <col min="3" max="3" width="2.7109375" customWidth="1"/>
    <col min="4" max="4" width="12.42578125" style="10" bestFit="1" customWidth="1"/>
    <col min="5" max="5" width="77.42578125" customWidth="1"/>
    <col min="6" max="6" width="51.7109375" bestFit="1" customWidth="1"/>
    <col min="7" max="7" width="14.140625" bestFit="1" customWidth="1"/>
    <col min="8" max="8" width="11" bestFit="1" customWidth="1"/>
    <col min="9" max="9" width="8.28515625" style="10" bestFit="1" customWidth="1"/>
    <col min="10" max="10" width="7.28515625" bestFit="1" customWidth="1"/>
    <col min="11" max="11" width="12" bestFit="1" customWidth="1"/>
    <col min="12" max="12" width="8.140625" customWidth="1"/>
    <col min="13" max="13" width="12.28515625" style="3" customWidth="1"/>
    <col min="14" max="14" width="8.5703125" style="10" bestFit="1" customWidth="1"/>
    <col min="15" max="15" width="8.7109375" bestFit="1" customWidth="1"/>
    <col min="16" max="16" width="12.7109375" bestFit="1" customWidth="1"/>
    <col min="17" max="17" width="8.140625" customWidth="1"/>
    <col min="18" max="18" width="11.140625" style="3" bestFit="1" customWidth="1"/>
    <col min="19" max="19" width="10.140625" style="29" bestFit="1" customWidth="1"/>
    <col min="20" max="20" width="15.7109375" bestFit="1" customWidth="1"/>
    <col min="21" max="21" width="9.28515625" style="30" bestFit="1" customWidth="1"/>
    <col min="22" max="22" width="6.7109375" style="2" customWidth="1"/>
    <col min="23" max="23" width="5.7109375" style="2" bestFit="1" customWidth="1"/>
    <col min="24" max="24" width="9.140625" style="10"/>
  </cols>
  <sheetData>
    <row r="1" spans="1:32" x14ac:dyDescent="0.25">
      <c r="D1"/>
      <c r="G1">
        <f>I4-N4</f>
        <v>0</v>
      </c>
      <c r="I1"/>
      <c r="N1"/>
      <c r="S1"/>
      <c r="U1"/>
      <c r="V1"/>
      <c r="W1"/>
      <c r="X1"/>
    </row>
    <row r="2" spans="1:32" ht="15.75" thickBot="1" x14ac:dyDescent="0.3">
      <c r="D2"/>
      <c r="I2" s="15" t="s">
        <v>39</v>
      </c>
      <c r="J2" s="16"/>
      <c r="K2" s="16"/>
      <c r="L2" s="16"/>
      <c r="M2" s="26"/>
      <c r="N2" s="15" t="s">
        <v>40</v>
      </c>
      <c r="O2" s="11"/>
      <c r="P2" s="11"/>
      <c r="Q2" s="16"/>
      <c r="R2" s="28"/>
      <c r="S2" s="15" t="s">
        <v>22</v>
      </c>
      <c r="T2" s="12"/>
      <c r="U2" s="19" t="s">
        <v>43</v>
      </c>
      <c r="V2" s="9"/>
      <c r="W2" s="9"/>
      <c r="Y2" s="38" t="s">
        <v>39</v>
      </c>
      <c r="Z2" s="11"/>
      <c r="AA2" s="38" t="s">
        <v>214</v>
      </c>
      <c r="AB2" s="12"/>
      <c r="AD2" s="35" t="s">
        <v>213</v>
      </c>
      <c r="AE2" s="37" t="s">
        <v>48</v>
      </c>
      <c r="AF2" s="37">
        <v>1.6571196983775592E-3</v>
      </c>
    </row>
    <row r="3" spans="1:32" x14ac:dyDescent="0.25">
      <c r="A3" s="45" t="s">
        <v>70</v>
      </c>
      <c r="B3" s="14">
        <v>11.684486</v>
      </c>
      <c r="D3" s="23" t="s">
        <v>49</v>
      </c>
      <c r="E3" s="31" t="s">
        <v>24</v>
      </c>
      <c r="F3" s="31" t="s">
        <v>25</v>
      </c>
      <c r="G3" s="31" t="s">
        <v>33</v>
      </c>
      <c r="H3" s="31" t="s">
        <v>34</v>
      </c>
      <c r="I3" s="23" t="s">
        <v>13</v>
      </c>
      <c r="J3" s="17" t="s">
        <v>14</v>
      </c>
      <c r="K3" s="18" t="s">
        <v>72</v>
      </c>
      <c r="L3" s="18" t="s">
        <v>41</v>
      </c>
      <c r="M3" s="18" t="s">
        <v>42</v>
      </c>
      <c r="N3" s="23" t="s">
        <v>13</v>
      </c>
      <c r="O3" s="17" t="s">
        <v>14</v>
      </c>
      <c r="P3" s="18" t="s">
        <v>72</v>
      </c>
      <c r="Q3" s="18" t="s">
        <v>41</v>
      </c>
      <c r="R3" s="18" t="s">
        <v>42</v>
      </c>
      <c r="S3" s="20" t="s">
        <v>46</v>
      </c>
      <c r="T3" s="18" t="s">
        <v>71</v>
      </c>
      <c r="U3" s="25" t="s">
        <v>44</v>
      </c>
      <c r="V3" s="24" t="s">
        <v>45</v>
      </c>
      <c r="W3" s="24" t="s">
        <v>15</v>
      </c>
      <c r="Y3" s="23" t="s">
        <v>13</v>
      </c>
      <c r="Z3" s="32" t="s">
        <v>14</v>
      </c>
      <c r="AA3" s="23" t="s">
        <v>13</v>
      </c>
      <c r="AB3" s="32" t="s">
        <v>14</v>
      </c>
      <c r="AD3" s="35">
        <f>IF('Electrification Estimator'!$D$9="Single Family",$AF$2, $AF$3)</f>
        <v>1.2733569941757504E-3</v>
      </c>
      <c r="AE3" s="37" t="s">
        <v>47</v>
      </c>
      <c r="AF3" s="37">
        <v>1.2733569941757504E-3</v>
      </c>
    </row>
    <row r="4" spans="1:32" x14ac:dyDescent="0.25">
      <c r="A4" s="34" t="s">
        <v>36</v>
      </c>
      <c r="B4" s="5">
        <v>100</v>
      </c>
      <c r="D4" s="10" t="s">
        <v>47</v>
      </c>
      <c r="E4" t="s">
        <v>73</v>
      </c>
      <c r="F4" t="s">
        <v>74</v>
      </c>
      <c r="G4" s="57">
        <f>I4-N4</f>
        <v>0</v>
      </c>
      <c r="H4" s="57">
        <f>J4-O4</f>
        <v>0</v>
      </c>
      <c r="I4" s="10">
        <f>Y4*$AD$3*'Electrification Estimator'!$F$10</f>
        <v>0</v>
      </c>
      <c r="J4">
        <f>Z4*$AD$3*'Electrification Estimator'!$F$10</f>
        <v>0</v>
      </c>
      <c r="K4">
        <f>J4*$B$3</f>
        <v>0</v>
      </c>
      <c r="L4" s="13">
        <f>J4*$B$4+I4*$B$5</f>
        <v>0</v>
      </c>
      <c r="M4" s="27">
        <f>I4*$B$6+J4*$B$7</f>
        <v>0</v>
      </c>
      <c r="N4" s="10">
        <f>AA4*$AD$3*'Electrification Estimator'!$F$10</f>
        <v>0</v>
      </c>
      <c r="O4">
        <f>AB4*$AD$3*'Electrification Estimator'!$F$10</f>
        <v>0</v>
      </c>
      <c r="P4">
        <f>O4*$B$3</f>
        <v>0</v>
      </c>
      <c r="Q4" s="13">
        <f>O4*$B$4+N4*$B$5</f>
        <v>0</v>
      </c>
      <c r="R4" s="27">
        <f>N4*$B$6+O4*$B$7</f>
        <v>0</v>
      </c>
      <c r="S4" s="29">
        <f>R4-M4</f>
        <v>0</v>
      </c>
      <c r="T4">
        <f>H4*$B$3</f>
        <v>0</v>
      </c>
      <c r="U4" s="21" t="e">
        <f t="shared" ref="U4:V19" si="0">1-Q4/L4</f>
        <v>#DIV/0!</v>
      </c>
      <c r="V4" s="22" t="e">
        <f>1-R4/M4</f>
        <v>#DIV/0!</v>
      </c>
      <c r="W4" s="46">
        <f>K4-P4</f>
        <v>0</v>
      </c>
      <c r="Y4" s="10">
        <v>7330</v>
      </c>
      <c r="Z4" s="58">
        <v>98.7</v>
      </c>
      <c r="AA4" s="10">
        <v>7460</v>
      </c>
      <c r="AB4" s="58">
        <v>0</v>
      </c>
    </row>
    <row r="5" spans="1:32" x14ac:dyDescent="0.25">
      <c r="A5" s="34" t="s">
        <v>35</v>
      </c>
      <c r="B5" s="6">
        <v>3.4121416299999998</v>
      </c>
      <c r="D5" s="10" t="s">
        <v>47</v>
      </c>
      <c r="E5" t="s">
        <v>73</v>
      </c>
      <c r="F5" t="s">
        <v>75</v>
      </c>
      <c r="G5" s="57">
        <f t="shared" ref="G5:G35" si="1">I5-N5</f>
        <v>0</v>
      </c>
      <c r="H5" s="57">
        <f t="shared" ref="H5:H35" si="2">J5-O5</f>
        <v>0</v>
      </c>
      <c r="I5" s="10">
        <f>Y5*$AD$3*'Electrification Estimator'!$F$10</f>
        <v>0</v>
      </c>
      <c r="J5">
        <f>Z5*$AD$3*'Electrification Estimator'!$F$10</f>
        <v>0</v>
      </c>
      <c r="K5">
        <f>J5*$B$3</f>
        <v>0</v>
      </c>
      <c r="L5" s="13">
        <f>J5*$B$4+I5*$B$5</f>
        <v>0</v>
      </c>
      <c r="M5" s="27">
        <f>I5*$B$6+J5*$B$7</f>
        <v>0</v>
      </c>
      <c r="N5" s="10">
        <f>AA5*$AD$3*'Electrification Estimator'!$F$10</f>
        <v>0</v>
      </c>
      <c r="O5">
        <f>AB5*$AD$3*'Electrification Estimator'!$F$10</f>
        <v>0</v>
      </c>
      <c r="P5">
        <f>O5*$B$3</f>
        <v>0</v>
      </c>
      <c r="Q5" s="13">
        <f>O5*$B$4+N5*$B$5</f>
        <v>0</v>
      </c>
      <c r="R5" s="27">
        <f t="shared" ref="R5:R27" si="3">N5*$B$6+O5*$B$7</f>
        <v>0</v>
      </c>
      <c r="S5" s="29">
        <f>R5-M5</f>
        <v>0</v>
      </c>
      <c r="T5">
        <f>H5*$B$3</f>
        <v>0</v>
      </c>
      <c r="U5" s="21" t="e">
        <f t="shared" si="0"/>
        <v>#DIV/0!</v>
      </c>
      <c r="V5" s="22" t="e">
        <f t="shared" si="0"/>
        <v>#DIV/0!</v>
      </c>
      <c r="W5" s="46">
        <f t="shared" ref="W5:W27" si="4">K5-P5</f>
        <v>0</v>
      </c>
      <c r="Y5" s="10">
        <v>7330</v>
      </c>
      <c r="Z5" s="58">
        <v>98.7</v>
      </c>
      <c r="AA5" s="10">
        <v>7480</v>
      </c>
      <c r="AB5" s="58">
        <v>0</v>
      </c>
    </row>
    <row r="6" spans="1:32" x14ac:dyDescent="0.25">
      <c r="A6" s="34" t="s">
        <v>37</v>
      </c>
      <c r="B6" s="7">
        <f>lookup!I15</f>
        <v>0.16600000000000001</v>
      </c>
      <c r="D6" s="10" t="s">
        <v>47</v>
      </c>
      <c r="E6" t="s">
        <v>73</v>
      </c>
      <c r="F6" t="s">
        <v>76</v>
      </c>
      <c r="G6" s="57">
        <f t="shared" si="1"/>
        <v>0</v>
      </c>
      <c r="H6" s="57">
        <f t="shared" si="2"/>
        <v>0</v>
      </c>
      <c r="I6" s="10">
        <f>Y6*$AD$3*'Electrification Estimator'!$F$10</f>
        <v>0</v>
      </c>
      <c r="J6">
        <f>Z6*$AD$3*'Electrification Estimator'!$F$10</f>
        <v>0</v>
      </c>
      <c r="K6">
        <f>J6*$B$3</f>
        <v>0</v>
      </c>
      <c r="L6" s="13">
        <f>J6*$B$4+I6*$B$5</f>
        <v>0</v>
      </c>
      <c r="M6" s="27">
        <f>I6*$B$6+J6*$B$7</f>
        <v>0</v>
      </c>
      <c r="N6" s="10">
        <f>AA6*$AD$3*'Electrification Estimator'!$F$10</f>
        <v>0</v>
      </c>
      <c r="O6">
        <f>AB6*$AD$3*'Electrification Estimator'!$F$10</f>
        <v>0</v>
      </c>
      <c r="P6">
        <f>O6*$B$3</f>
        <v>0</v>
      </c>
      <c r="Q6" s="13">
        <f>O6*$B$4+N6*$B$5</f>
        <v>0</v>
      </c>
      <c r="R6" s="27">
        <f t="shared" si="3"/>
        <v>0</v>
      </c>
      <c r="S6" s="29">
        <f>R6-M6</f>
        <v>0</v>
      </c>
      <c r="T6">
        <f>H6*$B$3</f>
        <v>0</v>
      </c>
      <c r="U6" s="21" t="e">
        <f t="shared" si="0"/>
        <v>#DIV/0!</v>
      </c>
      <c r="V6" s="22" t="e">
        <f t="shared" si="0"/>
        <v>#DIV/0!</v>
      </c>
      <c r="W6" s="46">
        <f t="shared" si="4"/>
        <v>0</v>
      </c>
      <c r="Y6" s="10">
        <v>7330</v>
      </c>
      <c r="Z6" s="58">
        <v>98.7</v>
      </c>
      <c r="AA6" s="10">
        <v>7430</v>
      </c>
      <c r="AB6" s="58">
        <v>0</v>
      </c>
    </row>
    <row r="7" spans="1:32" ht="15.75" thickBot="1" x14ac:dyDescent="0.3">
      <c r="A7" s="33" t="s">
        <v>38</v>
      </c>
      <c r="B7" s="8">
        <f>lookup!I16</f>
        <v>2.62</v>
      </c>
      <c r="D7" s="10" t="s">
        <v>47</v>
      </c>
      <c r="E7" t="s">
        <v>73</v>
      </c>
      <c r="F7" t="s">
        <v>77</v>
      </c>
      <c r="G7" s="57">
        <f t="shared" si="1"/>
        <v>0</v>
      </c>
      <c r="H7" s="57">
        <f t="shared" si="2"/>
        <v>0</v>
      </c>
      <c r="I7" s="10">
        <f>Y7*$AD$3*'Electrification Estimator'!$F$10</f>
        <v>0</v>
      </c>
      <c r="J7">
        <f>Z7*$AD$3*'Electrification Estimator'!$F$10</f>
        <v>0</v>
      </c>
      <c r="K7">
        <f>J7*$B$3</f>
        <v>0</v>
      </c>
      <c r="L7" s="13">
        <f>J7*$B$4+I7*$B$5</f>
        <v>0</v>
      </c>
      <c r="M7" s="27">
        <f>I7*$B$6+J7*$B$7</f>
        <v>0</v>
      </c>
      <c r="N7" s="10">
        <f>AA7*$AD$3*'Electrification Estimator'!$F$10</f>
        <v>0</v>
      </c>
      <c r="O7">
        <f>AB7*$AD$3*'Electrification Estimator'!$F$10</f>
        <v>0</v>
      </c>
      <c r="P7">
        <f>O7*$B$3</f>
        <v>0</v>
      </c>
      <c r="Q7" s="13">
        <f>O7*$B$4+N7*$B$5</f>
        <v>0</v>
      </c>
      <c r="R7" s="27">
        <f t="shared" si="3"/>
        <v>0</v>
      </c>
      <c r="S7" s="29">
        <f>R7-M7</f>
        <v>0</v>
      </c>
      <c r="T7">
        <f>H7*$B$3</f>
        <v>0</v>
      </c>
      <c r="U7" s="21" t="e">
        <f t="shared" si="0"/>
        <v>#DIV/0!</v>
      </c>
      <c r="V7" s="22" t="e">
        <f t="shared" si="0"/>
        <v>#DIV/0!</v>
      </c>
      <c r="W7" s="46">
        <f t="shared" si="4"/>
        <v>0</v>
      </c>
      <c r="Y7" s="10">
        <v>7330</v>
      </c>
      <c r="Z7" s="58">
        <v>98.7</v>
      </c>
      <c r="AA7" s="10">
        <v>7410</v>
      </c>
      <c r="AB7" s="58">
        <v>0</v>
      </c>
    </row>
    <row r="8" spans="1:32" x14ac:dyDescent="0.25">
      <c r="D8" s="10" t="s">
        <v>47</v>
      </c>
      <c r="E8" t="s">
        <v>78</v>
      </c>
      <c r="F8" t="s">
        <v>74</v>
      </c>
      <c r="G8" s="57">
        <f t="shared" si="1"/>
        <v>0</v>
      </c>
      <c r="H8" s="57">
        <f t="shared" si="2"/>
        <v>0</v>
      </c>
      <c r="I8" s="10">
        <f>Y8*$AD$3*'Electrification Estimator'!$F$10</f>
        <v>0</v>
      </c>
      <c r="J8">
        <f>Z8*$AD$3*'Electrification Estimator'!$F$10</f>
        <v>0</v>
      </c>
      <c r="K8">
        <f t="shared" ref="K8:K27" si="5">J8*$B$3</f>
        <v>0</v>
      </c>
      <c r="L8">
        <f t="shared" ref="L8:L27" si="6">J8*$B$4+I8*$B$5</f>
        <v>0</v>
      </c>
      <c r="M8" s="27">
        <f t="shared" ref="M8:M27" si="7">I8*$B$6+J8*$B$7</f>
        <v>0</v>
      </c>
      <c r="N8" s="10">
        <f>AA8*$AD$3*'Electrification Estimator'!$F$10</f>
        <v>0</v>
      </c>
      <c r="O8">
        <f>AB8*$AD$3*'Electrification Estimator'!$F$10</f>
        <v>0</v>
      </c>
      <c r="P8">
        <f t="shared" ref="P8:P27" si="8">O8*$B$3</f>
        <v>0</v>
      </c>
      <c r="Q8">
        <f t="shared" ref="Q8:Q27" si="9">O8*$B$4+N8*$B$5</f>
        <v>0</v>
      </c>
      <c r="R8" s="27">
        <f t="shared" si="3"/>
        <v>0</v>
      </c>
      <c r="S8" s="29">
        <f t="shared" ref="S8:S27" si="10">R8-M8</f>
        <v>0</v>
      </c>
      <c r="T8">
        <f t="shared" ref="T8:T27" si="11">H8*$B$3</f>
        <v>0</v>
      </c>
      <c r="U8" s="21" t="e">
        <f t="shared" si="0"/>
        <v>#DIV/0!</v>
      </c>
      <c r="V8" s="22" t="e">
        <f t="shared" si="0"/>
        <v>#DIV/0!</v>
      </c>
      <c r="W8" s="46">
        <f t="shared" si="4"/>
        <v>0</v>
      </c>
      <c r="Y8" s="10">
        <v>6990</v>
      </c>
      <c r="Z8" s="58">
        <v>98.7</v>
      </c>
      <c r="AA8" s="10">
        <v>7460</v>
      </c>
      <c r="AB8" s="58">
        <v>0</v>
      </c>
    </row>
    <row r="9" spans="1:32" x14ac:dyDescent="0.25">
      <c r="D9" s="10" t="s">
        <v>47</v>
      </c>
      <c r="E9" t="s">
        <v>78</v>
      </c>
      <c r="F9" t="s">
        <v>75</v>
      </c>
      <c r="G9" s="57">
        <f t="shared" si="1"/>
        <v>0</v>
      </c>
      <c r="H9" s="57">
        <f t="shared" si="2"/>
        <v>0</v>
      </c>
      <c r="I9" s="10">
        <f>Y9*$AD$3*'Electrification Estimator'!$F$10</f>
        <v>0</v>
      </c>
      <c r="J9">
        <f>Z9*$AD$3*'Electrification Estimator'!$F$10</f>
        <v>0</v>
      </c>
      <c r="K9">
        <f t="shared" si="5"/>
        <v>0</v>
      </c>
      <c r="L9">
        <f t="shared" si="6"/>
        <v>0</v>
      </c>
      <c r="M9" s="27">
        <f t="shared" si="7"/>
        <v>0</v>
      </c>
      <c r="N9" s="10">
        <f>AA9*$AD$3*'Electrification Estimator'!$F$10</f>
        <v>0</v>
      </c>
      <c r="O9">
        <f>AB9*$AD$3*'Electrification Estimator'!$F$10</f>
        <v>0</v>
      </c>
      <c r="P9">
        <f t="shared" si="8"/>
        <v>0</v>
      </c>
      <c r="Q9">
        <f t="shared" si="9"/>
        <v>0</v>
      </c>
      <c r="R9" s="27">
        <f t="shared" si="3"/>
        <v>0</v>
      </c>
      <c r="S9" s="29">
        <f t="shared" si="10"/>
        <v>0</v>
      </c>
      <c r="T9">
        <f t="shared" si="11"/>
        <v>0</v>
      </c>
      <c r="U9" s="21" t="e">
        <f t="shared" si="0"/>
        <v>#DIV/0!</v>
      </c>
      <c r="V9" s="22" t="e">
        <f t="shared" si="0"/>
        <v>#DIV/0!</v>
      </c>
      <c r="W9" s="46">
        <f t="shared" si="4"/>
        <v>0</v>
      </c>
      <c r="Y9" s="10">
        <v>6990</v>
      </c>
      <c r="Z9" s="58">
        <v>98.7</v>
      </c>
      <c r="AA9" s="10">
        <v>7480</v>
      </c>
      <c r="AB9" s="58">
        <v>0</v>
      </c>
    </row>
    <row r="10" spans="1:32" x14ac:dyDescent="0.25">
      <c r="A10" s="44" t="s">
        <v>385</v>
      </c>
      <c r="D10" s="10" t="s">
        <v>47</v>
      </c>
      <c r="E10" t="s">
        <v>78</v>
      </c>
      <c r="F10" t="s">
        <v>76</v>
      </c>
      <c r="G10" s="57">
        <f t="shared" si="1"/>
        <v>0</v>
      </c>
      <c r="H10" s="57">
        <f t="shared" si="2"/>
        <v>0</v>
      </c>
      <c r="I10" s="10">
        <f>Y10*$AD$3*'Electrification Estimator'!$F$10</f>
        <v>0</v>
      </c>
      <c r="J10">
        <f>Z10*$AD$3*'Electrification Estimator'!$F$10</f>
        <v>0</v>
      </c>
      <c r="K10">
        <f t="shared" si="5"/>
        <v>0</v>
      </c>
      <c r="L10" s="13">
        <f t="shared" si="6"/>
        <v>0</v>
      </c>
      <c r="M10" s="27">
        <f t="shared" si="7"/>
        <v>0</v>
      </c>
      <c r="N10" s="10">
        <f>AA10*$AD$3*'Electrification Estimator'!$F$10</f>
        <v>0</v>
      </c>
      <c r="O10">
        <f>AB10*$AD$3*'Electrification Estimator'!$F$10</f>
        <v>0</v>
      </c>
      <c r="P10">
        <f t="shared" si="8"/>
        <v>0</v>
      </c>
      <c r="Q10" s="13">
        <f t="shared" si="9"/>
        <v>0</v>
      </c>
      <c r="R10" s="27">
        <f t="shared" si="3"/>
        <v>0</v>
      </c>
      <c r="S10" s="29">
        <f t="shared" si="10"/>
        <v>0</v>
      </c>
      <c r="T10">
        <f t="shared" si="11"/>
        <v>0</v>
      </c>
      <c r="U10" s="21" t="e">
        <f t="shared" si="0"/>
        <v>#DIV/0!</v>
      </c>
      <c r="V10" s="22" t="e">
        <f t="shared" si="0"/>
        <v>#DIV/0!</v>
      </c>
      <c r="W10" s="46">
        <f t="shared" si="4"/>
        <v>0</v>
      </c>
      <c r="Y10" s="10">
        <v>6990</v>
      </c>
      <c r="Z10" s="58">
        <v>98.7</v>
      </c>
      <c r="AA10" s="10">
        <v>7430</v>
      </c>
      <c r="AB10" s="58">
        <v>0</v>
      </c>
    </row>
    <row r="11" spans="1:32" x14ac:dyDescent="0.25">
      <c r="A11" s="44" t="s">
        <v>386</v>
      </c>
      <c r="D11" s="10" t="s">
        <v>47</v>
      </c>
      <c r="E11" t="s">
        <v>78</v>
      </c>
      <c r="F11" t="s">
        <v>77</v>
      </c>
      <c r="G11" s="57">
        <f t="shared" si="1"/>
        <v>0</v>
      </c>
      <c r="H11" s="57">
        <f t="shared" si="2"/>
        <v>0</v>
      </c>
      <c r="I11" s="10">
        <f>Y11*$AD$3*'Electrification Estimator'!$F$10</f>
        <v>0</v>
      </c>
      <c r="J11">
        <f>Z11*$AD$3*'Electrification Estimator'!$F$10</f>
        <v>0</v>
      </c>
      <c r="K11">
        <f t="shared" si="5"/>
        <v>0</v>
      </c>
      <c r="L11" s="13">
        <f t="shared" si="6"/>
        <v>0</v>
      </c>
      <c r="M11" s="27">
        <f t="shared" si="7"/>
        <v>0</v>
      </c>
      <c r="N11" s="10">
        <f>AA11*$AD$3*'Electrification Estimator'!$F$10</f>
        <v>0</v>
      </c>
      <c r="O11">
        <f>AB11*$AD$3*'Electrification Estimator'!$F$10</f>
        <v>0</v>
      </c>
      <c r="P11">
        <f t="shared" si="8"/>
        <v>0</v>
      </c>
      <c r="Q11" s="13">
        <f t="shared" si="9"/>
        <v>0</v>
      </c>
      <c r="R11" s="27">
        <f t="shared" si="3"/>
        <v>0</v>
      </c>
      <c r="S11" s="29">
        <f t="shared" si="10"/>
        <v>0</v>
      </c>
      <c r="T11">
        <f t="shared" si="11"/>
        <v>0</v>
      </c>
      <c r="U11" s="21" t="e">
        <f t="shared" si="0"/>
        <v>#DIV/0!</v>
      </c>
      <c r="V11" s="22" t="e">
        <f t="shared" si="0"/>
        <v>#DIV/0!</v>
      </c>
      <c r="W11" s="46">
        <f t="shared" si="4"/>
        <v>0</v>
      </c>
      <c r="Y11" s="10">
        <v>6990</v>
      </c>
      <c r="Z11" s="58">
        <v>98.7</v>
      </c>
      <c r="AA11" s="10">
        <v>7410</v>
      </c>
      <c r="AB11" s="58">
        <v>0</v>
      </c>
    </row>
    <row r="12" spans="1:32" x14ac:dyDescent="0.25">
      <c r="A12" t="s">
        <v>388</v>
      </c>
      <c r="D12" s="10" t="s">
        <v>47</v>
      </c>
      <c r="E12" t="s">
        <v>79</v>
      </c>
      <c r="F12" t="s">
        <v>80</v>
      </c>
      <c r="G12" s="57">
        <f t="shared" si="1"/>
        <v>0</v>
      </c>
      <c r="H12" s="57">
        <f t="shared" si="2"/>
        <v>0</v>
      </c>
      <c r="I12" s="10">
        <f>Y12*$AD$3*'Electrification Estimator'!$F$10</f>
        <v>0</v>
      </c>
      <c r="J12">
        <f>Z12*$AD$3*'Electrification Estimator'!$F$10</f>
        <v>0</v>
      </c>
      <c r="K12">
        <f t="shared" si="5"/>
        <v>0</v>
      </c>
      <c r="L12" s="13">
        <f t="shared" si="6"/>
        <v>0</v>
      </c>
      <c r="M12" s="27">
        <f t="shared" si="7"/>
        <v>0</v>
      </c>
      <c r="N12" s="10">
        <f>AA12*$AD$3*'Electrification Estimator'!$F$10</f>
        <v>0</v>
      </c>
      <c r="O12">
        <f>AB12*$AD$3*'Electrification Estimator'!$F$10</f>
        <v>0</v>
      </c>
      <c r="P12">
        <f t="shared" si="8"/>
        <v>0</v>
      </c>
      <c r="Q12" s="13">
        <f t="shared" si="9"/>
        <v>0</v>
      </c>
      <c r="R12" s="27">
        <f t="shared" si="3"/>
        <v>0</v>
      </c>
      <c r="S12" s="29">
        <f t="shared" si="10"/>
        <v>0</v>
      </c>
      <c r="T12">
        <f t="shared" si="11"/>
        <v>0</v>
      </c>
      <c r="U12" s="21" t="e">
        <f t="shared" si="0"/>
        <v>#DIV/0!</v>
      </c>
      <c r="V12" s="22" t="e">
        <f t="shared" si="0"/>
        <v>#DIV/0!</v>
      </c>
      <c r="W12" s="46">
        <f t="shared" si="4"/>
        <v>0</v>
      </c>
      <c r="Y12" s="10">
        <v>307</v>
      </c>
      <c r="Z12" s="58">
        <v>43.6</v>
      </c>
      <c r="AA12" s="10">
        <v>635</v>
      </c>
      <c r="AB12" s="58">
        <v>0</v>
      </c>
    </row>
    <row r="13" spans="1:32" x14ac:dyDescent="0.25">
      <c r="A13" t="s">
        <v>389</v>
      </c>
      <c r="D13" s="10" t="s">
        <v>47</v>
      </c>
      <c r="E13" t="s">
        <v>79</v>
      </c>
      <c r="F13" t="s">
        <v>81</v>
      </c>
      <c r="G13" s="57">
        <f t="shared" si="1"/>
        <v>0</v>
      </c>
      <c r="H13" s="57">
        <f t="shared" si="2"/>
        <v>0</v>
      </c>
      <c r="I13" s="10">
        <f>Y13*$AD$3*'Electrification Estimator'!$F$10</f>
        <v>0</v>
      </c>
      <c r="J13">
        <f>Z13*$AD$3*'Electrification Estimator'!$F$10</f>
        <v>0</v>
      </c>
      <c r="K13">
        <f t="shared" si="5"/>
        <v>0</v>
      </c>
      <c r="L13" s="13">
        <f t="shared" si="6"/>
        <v>0</v>
      </c>
      <c r="M13" s="27">
        <f t="shared" si="7"/>
        <v>0</v>
      </c>
      <c r="N13" s="10">
        <f>AA13*$AD$3*'Electrification Estimator'!$F$10</f>
        <v>0</v>
      </c>
      <c r="O13">
        <f>AB13*$AD$3*'Electrification Estimator'!$F$10</f>
        <v>0</v>
      </c>
      <c r="P13">
        <f t="shared" si="8"/>
        <v>0</v>
      </c>
      <c r="Q13" s="13">
        <f t="shared" si="9"/>
        <v>0</v>
      </c>
      <c r="R13" s="27">
        <f t="shared" si="3"/>
        <v>0</v>
      </c>
      <c r="S13" s="29">
        <f t="shared" si="10"/>
        <v>0</v>
      </c>
      <c r="T13">
        <f t="shared" si="11"/>
        <v>0</v>
      </c>
      <c r="U13" s="21" t="e">
        <f t="shared" si="0"/>
        <v>#DIV/0!</v>
      </c>
      <c r="V13" s="22" t="e">
        <f t="shared" si="0"/>
        <v>#DIV/0!</v>
      </c>
      <c r="W13" s="46">
        <f t="shared" si="4"/>
        <v>0</v>
      </c>
      <c r="Y13" s="10">
        <v>307</v>
      </c>
      <c r="Z13" s="58">
        <v>43.6</v>
      </c>
      <c r="AA13" s="10">
        <v>633</v>
      </c>
      <c r="AB13" s="58">
        <v>0</v>
      </c>
    </row>
    <row r="14" spans="1:32" x14ac:dyDescent="0.25">
      <c r="A14" t="s">
        <v>390</v>
      </c>
      <c r="D14" s="10" t="s">
        <v>47</v>
      </c>
      <c r="E14" t="s">
        <v>79</v>
      </c>
      <c r="F14" t="s">
        <v>82</v>
      </c>
      <c r="G14" s="57">
        <f t="shared" si="1"/>
        <v>0</v>
      </c>
      <c r="H14" s="57">
        <f t="shared" si="2"/>
        <v>0</v>
      </c>
      <c r="I14" s="10">
        <f>Y14*$AD$3*'Electrification Estimator'!$F$10</f>
        <v>0</v>
      </c>
      <c r="J14">
        <f>Z14*$AD$3*'Electrification Estimator'!$F$10</f>
        <v>0</v>
      </c>
      <c r="K14">
        <f t="shared" si="5"/>
        <v>0</v>
      </c>
      <c r="L14">
        <f t="shared" si="6"/>
        <v>0</v>
      </c>
      <c r="M14" s="27">
        <f t="shared" si="7"/>
        <v>0</v>
      </c>
      <c r="N14" s="10">
        <f>AA14*$AD$3*'Electrification Estimator'!$F$10</f>
        <v>0</v>
      </c>
      <c r="O14">
        <f>AB14*$AD$3*'Electrification Estimator'!$F$10</f>
        <v>0</v>
      </c>
      <c r="P14">
        <f t="shared" si="8"/>
        <v>0</v>
      </c>
      <c r="Q14">
        <f t="shared" si="9"/>
        <v>0</v>
      </c>
      <c r="R14" s="27">
        <f t="shared" si="3"/>
        <v>0</v>
      </c>
      <c r="S14" s="29">
        <f t="shared" si="10"/>
        <v>0</v>
      </c>
      <c r="T14">
        <f t="shared" si="11"/>
        <v>0</v>
      </c>
      <c r="U14" s="21" t="e">
        <f t="shared" si="0"/>
        <v>#DIV/0!</v>
      </c>
      <c r="V14" s="22" t="e">
        <f t="shared" si="0"/>
        <v>#DIV/0!</v>
      </c>
      <c r="W14" s="46">
        <f t="shared" si="4"/>
        <v>0</v>
      </c>
      <c r="Y14" s="10">
        <v>307</v>
      </c>
      <c r="Z14" s="58">
        <v>43.6</v>
      </c>
      <c r="AA14" s="10">
        <v>606</v>
      </c>
      <c r="AB14" s="58">
        <v>0</v>
      </c>
    </row>
    <row r="15" spans="1:32" x14ac:dyDescent="0.25">
      <c r="A15" s="137">
        <v>44972</v>
      </c>
      <c r="D15" s="10" t="s">
        <v>47</v>
      </c>
      <c r="E15" t="s">
        <v>79</v>
      </c>
      <c r="F15" t="s">
        <v>83</v>
      </c>
      <c r="G15" s="57">
        <f t="shared" si="1"/>
        <v>0</v>
      </c>
      <c r="H15" s="57">
        <f t="shared" si="2"/>
        <v>0</v>
      </c>
      <c r="I15" s="10">
        <f>Y15*$AD$3*'Electrification Estimator'!$F$10</f>
        <v>0</v>
      </c>
      <c r="J15">
        <f>Z15*$AD$3*'Electrification Estimator'!$F$10</f>
        <v>0</v>
      </c>
      <c r="K15">
        <f t="shared" si="5"/>
        <v>0</v>
      </c>
      <c r="L15">
        <f t="shared" si="6"/>
        <v>0</v>
      </c>
      <c r="M15" s="27">
        <f t="shared" si="7"/>
        <v>0</v>
      </c>
      <c r="N15" s="10">
        <f>AA15*$AD$3*'Electrification Estimator'!$F$10</f>
        <v>0</v>
      </c>
      <c r="O15">
        <f>AB15*$AD$3*'Electrification Estimator'!$F$10</f>
        <v>0</v>
      </c>
      <c r="P15">
        <f t="shared" si="8"/>
        <v>0</v>
      </c>
      <c r="Q15">
        <f t="shared" si="9"/>
        <v>0</v>
      </c>
      <c r="R15" s="27">
        <f t="shared" si="3"/>
        <v>0</v>
      </c>
      <c r="S15" s="29">
        <f t="shared" si="10"/>
        <v>0</v>
      </c>
      <c r="T15">
        <f t="shared" si="11"/>
        <v>0</v>
      </c>
      <c r="U15" s="21" t="e">
        <f t="shared" si="0"/>
        <v>#DIV/0!</v>
      </c>
      <c r="V15" s="22" t="e">
        <f t="shared" si="0"/>
        <v>#DIV/0!</v>
      </c>
      <c r="W15" s="46">
        <f t="shared" si="4"/>
        <v>0</v>
      </c>
      <c r="Y15" s="10">
        <v>307</v>
      </c>
      <c r="Z15" s="58">
        <v>43.6</v>
      </c>
      <c r="AA15" s="10">
        <v>585</v>
      </c>
      <c r="AB15" s="58">
        <v>0</v>
      </c>
    </row>
    <row r="16" spans="1:32" x14ac:dyDescent="0.25">
      <c r="A16" t="s">
        <v>393</v>
      </c>
      <c r="D16" s="10" t="s">
        <v>48</v>
      </c>
      <c r="E16" t="s">
        <v>84</v>
      </c>
      <c r="F16" t="s">
        <v>85</v>
      </c>
      <c r="G16" s="57">
        <f t="shared" si="1"/>
        <v>0</v>
      </c>
      <c r="H16" s="57">
        <f t="shared" si="2"/>
        <v>0</v>
      </c>
      <c r="I16" s="10">
        <f>Y16*$AD$3*'Electrification Estimator'!$F$10</f>
        <v>0</v>
      </c>
      <c r="J16">
        <f>Z16*$AD$3*'Electrification Estimator'!$F$10</f>
        <v>0</v>
      </c>
      <c r="K16">
        <f t="shared" si="5"/>
        <v>0</v>
      </c>
      <c r="L16">
        <f t="shared" si="6"/>
        <v>0</v>
      </c>
      <c r="M16" s="3">
        <f t="shared" si="7"/>
        <v>0</v>
      </c>
      <c r="N16" s="10">
        <f>AA16*$AD$3*'Electrification Estimator'!$F$10</f>
        <v>0</v>
      </c>
      <c r="O16">
        <f>AB16*$AD$3*'Electrification Estimator'!$F$10</f>
        <v>0</v>
      </c>
      <c r="P16">
        <f t="shared" si="8"/>
        <v>0</v>
      </c>
      <c r="Q16">
        <f t="shared" si="9"/>
        <v>0</v>
      </c>
      <c r="R16" s="3">
        <f t="shared" si="3"/>
        <v>0</v>
      </c>
      <c r="S16" s="29">
        <f t="shared" si="10"/>
        <v>0</v>
      </c>
      <c r="T16">
        <f t="shared" si="11"/>
        <v>0</v>
      </c>
      <c r="U16" s="30" t="e">
        <f t="shared" si="0"/>
        <v>#DIV/0!</v>
      </c>
      <c r="V16" s="2" t="e">
        <f t="shared" si="0"/>
        <v>#DIV/0!</v>
      </c>
      <c r="W16" s="46">
        <f t="shared" si="4"/>
        <v>0</v>
      </c>
      <c r="Y16" s="10">
        <v>3740</v>
      </c>
      <c r="Z16" s="58">
        <v>72.5</v>
      </c>
      <c r="AA16" s="10">
        <v>4010</v>
      </c>
      <c r="AB16" s="58">
        <v>0</v>
      </c>
    </row>
    <row r="17" spans="1:28" x14ac:dyDescent="0.25">
      <c r="A17" t="s">
        <v>394</v>
      </c>
      <c r="D17" s="10" t="s">
        <v>48</v>
      </c>
      <c r="E17" t="s">
        <v>84</v>
      </c>
      <c r="F17" t="s">
        <v>86</v>
      </c>
      <c r="G17" s="57">
        <f t="shared" si="1"/>
        <v>0</v>
      </c>
      <c r="H17" s="57">
        <f t="shared" si="2"/>
        <v>0</v>
      </c>
      <c r="I17" s="10">
        <f>Y17*$AD$3*'Electrification Estimator'!$F$10</f>
        <v>0</v>
      </c>
      <c r="J17">
        <f>Z17*$AD$3*'Electrification Estimator'!$F$10</f>
        <v>0</v>
      </c>
      <c r="K17">
        <f t="shared" si="5"/>
        <v>0</v>
      </c>
      <c r="L17">
        <f t="shared" si="6"/>
        <v>0</v>
      </c>
      <c r="M17" s="3">
        <f t="shared" si="7"/>
        <v>0</v>
      </c>
      <c r="N17" s="10">
        <f>AA17*$AD$3*'Electrification Estimator'!$F$10</f>
        <v>0</v>
      </c>
      <c r="O17">
        <f>AB17*$AD$3*'Electrification Estimator'!$F$10</f>
        <v>0</v>
      </c>
      <c r="P17">
        <f t="shared" si="8"/>
        <v>0</v>
      </c>
      <c r="Q17">
        <f t="shared" si="9"/>
        <v>0</v>
      </c>
      <c r="R17" s="3">
        <f t="shared" si="3"/>
        <v>0</v>
      </c>
      <c r="S17" s="29">
        <f t="shared" si="10"/>
        <v>0</v>
      </c>
      <c r="T17">
        <f t="shared" si="11"/>
        <v>0</v>
      </c>
      <c r="U17" s="30" t="e">
        <f t="shared" si="0"/>
        <v>#DIV/0!</v>
      </c>
      <c r="V17" s="2" t="e">
        <f t="shared" si="0"/>
        <v>#DIV/0!</v>
      </c>
      <c r="W17" s="46">
        <f t="shared" si="4"/>
        <v>0</v>
      </c>
      <c r="Y17" s="10">
        <v>3740</v>
      </c>
      <c r="Z17" s="58">
        <v>72.5</v>
      </c>
      <c r="AA17" s="10">
        <v>4040</v>
      </c>
      <c r="AB17" s="58">
        <v>0</v>
      </c>
    </row>
    <row r="18" spans="1:28" x14ac:dyDescent="0.25">
      <c r="D18" s="10" t="s">
        <v>48</v>
      </c>
      <c r="E18" t="s">
        <v>84</v>
      </c>
      <c r="F18" t="s">
        <v>87</v>
      </c>
      <c r="G18" s="57">
        <f t="shared" si="1"/>
        <v>0</v>
      </c>
      <c r="H18" s="57">
        <f t="shared" si="2"/>
        <v>0</v>
      </c>
      <c r="I18" s="10">
        <f>Y18*$AD$3*'Electrification Estimator'!$F$10</f>
        <v>0</v>
      </c>
      <c r="J18">
        <f>Z18*$AD$3*'Electrification Estimator'!$F$10</f>
        <v>0</v>
      </c>
      <c r="K18">
        <f t="shared" si="5"/>
        <v>0</v>
      </c>
      <c r="L18">
        <f t="shared" si="6"/>
        <v>0</v>
      </c>
      <c r="M18" s="3">
        <f t="shared" si="7"/>
        <v>0</v>
      </c>
      <c r="N18" s="10">
        <f>AA18*$AD$3*'Electrification Estimator'!$F$10</f>
        <v>0</v>
      </c>
      <c r="O18">
        <f>AB18*$AD$3*'Electrification Estimator'!$F$10</f>
        <v>0</v>
      </c>
      <c r="P18">
        <f t="shared" si="8"/>
        <v>0</v>
      </c>
      <c r="Q18">
        <f t="shared" si="9"/>
        <v>0</v>
      </c>
      <c r="R18" s="3">
        <f t="shared" si="3"/>
        <v>0</v>
      </c>
      <c r="S18" s="29">
        <f t="shared" si="10"/>
        <v>0</v>
      </c>
      <c r="T18">
        <f t="shared" si="11"/>
        <v>0</v>
      </c>
      <c r="U18" s="30" t="e">
        <f t="shared" si="0"/>
        <v>#DIV/0!</v>
      </c>
      <c r="V18" s="2" t="e">
        <f t="shared" si="0"/>
        <v>#DIV/0!</v>
      </c>
      <c r="W18" s="46">
        <f t="shared" si="4"/>
        <v>0</v>
      </c>
      <c r="Y18" s="10">
        <v>3740</v>
      </c>
      <c r="Z18" s="58">
        <v>72.5</v>
      </c>
      <c r="AA18" s="10">
        <v>3990</v>
      </c>
      <c r="AB18" s="58">
        <v>0</v>
      </c>
    </row>
    <row r="19" spans="1:28" x14ac:dyDescent="0.25">
      <c r="D19" s="10" t="s">
        <v>48</v>
      </c>
      <c r="E19" t="s">
        <v>84</v>
      </c>
      <c r="F19" t="s">
        <v>88</v>
      </c>
      <c r="G19" s="57">
        <f t="shared" si="1"/>
        <v>0</v>
      </c>
      <c r="H19" s="57">
        <f t="shared" si="2"/>
        <v>0</v>
      </c>
      <c r="I19" s="10">
        <f>Y19*$AD$3*'Electrification Estimator'!$F$10</f>
        <v>0</v>
      </c>
      <c r="J19">
        <f>Z19*$AD$3*'Electrification Estimator'!$F$10</f>
        <v>0</v>
      </c>
      <c r="K19">
        <f t="shared" si="5"/>
        <v>0</v>
      </c>
      <c r="L19">
        <f t="shared" si="6"/>
        <v>0</v>
      </c>
      <c r="M19" s="3">
        <f t="shared" si="7"/>
        <v>0</v>
      </c>
      <c r="N19" s="10">
        <f>AA19*$AD$3*'Electrification Estimator'!$F$10</f>
        <v>0</v>
      </c>
      <c r="O19">
        <f>AB19*$AD$3*'Electrification Estimator'!$F$10</f>
        <v>0</v>
      </c>
      <c r="P19">
        <f t="shared" si="8"/>
        <v>0</v>
      </c>
      <c r="Q19">
        <f t="shared" si="9"/>
        <v>0</v>
      </c>
      <c r="R19" s="3">
        <f t="shared" si="3"/>
        <v>0</v>
      </c>
      <c r="S19" s="29">
        <f t="shared" si="10"/>
        <v>0</v>
      </c>
      <c r="T19">
        <f t="shared" si="11"/>
        <v>0</v>
      </c>
      <c r="U19" s="30" t="e">
        <f t="shared" si="0"/>
        <v>#DIV/0!</v>
      </c>
      <c r="V19" s="2" t="e">
        <f t="shared" si="0"/>
        <v>#DIV/0!</v>
      </c>
      <c r="W19" s="46">
        <f t="shared" si="4"/>
        <v>0</v>
      </c>
      <c r="Y19" s="10">
        <v>3740</v>
      </c>
      <c r="Z19" s="58">
        <v>72.5</v>
      </c>
      <c r="AA19" s="10">
        <v>3960</v>
      </c>
      <c r="AB19" s="58">
        <v>0</v>
      </c>
    </row>
    <row r="20" spans="1:28" x14ac:dyDescent="0.25">
      <c r="D20" s="10" t="s">
        <v>48</v>
      </c>
      <c r="E20" t="s">
        <v>89</v>
      </c>
      <c r="F20" t="s">
        <v>85</v>
      </c>
      <c r="G20" s="57">
        <f t="shared" si="1"/>
        <v>0</v>
      </c>
      <c r="H20" s="57">
        <f t="shared" si="2"/>
        <v>0</v>
      </c>
      <c r="I20" s="10">
        <f>Y20*$AD$3*'Electrification Estimator'!$F$10</f>
        <v>0</v>
      </c>
      <c r="J20">
        <f>Z20*$AD$3*'Electrification Estimator'!$F$10</f>
        <v>0</v>
      </c>
      <c r="K20">
        <f t="shared" si="5"/>
        <v>0</v>
      </c>
      <c r="L20">
        <f t="shared" si="6"/>
        <v>0</v>
      </c>
      <c r="M20" s="3">
        <f t="shared" si="7"/>
        <v>0</v>
      </c>
      <c r="N20" s="10">
        <f>AA20*$AD$3*'Electrification Estimator'!$F$10</f>
        <v>0</v>
      </c>
      <c r="O20">
        <f>AB20*$AD$3*'Electrification Estimator'!$F$10</f>
        <v>0</v>
      </c>
      <c r="P20">
        <f t="shared" si="8"/>
        <v>0</v>
      </c>
      <c r="Q20">
        <f t="shared" si="9"/>
        <v>0</v>
      </c>
      <c r="R20" s="3">
        <f t="shared" si="3"/>
        <v>0</v>
      </c>
      <c r="S20" s="29">
        <f t="shared" si="10"/>
        <v>0</v>
      </c>
      <c r="T20">
        <f t="shared" si="11"/>
        <v>0</v>
      </c>
      <c r="U20" s="30" t="e">
        <f t="shared" ref="U20:V27" si="12">1-Q20/L20</f>
        <v>#DIV/0!</v>
      </c>
      <c r="V20" s="2" t="e">
        <f t="shared" si="12"/>
        <v>#DIV/0!</v>
      </c>
      <c r="W20" s="46">
        <f t="shared" si="4"/>
        <v>0</v>
      </c>
      <c r="Y20" s="10">
        <v>3460</v>
      </c>
      <c r="Z20" s="58">
        <v>72.5</v>
      </c>
      <c r="AA20" s="10">
        <v>4010</v>
      </c>
      <c r="AB20" s="58">
        <v>0</v>
      </c>
    </row>
    <row r="21" spans="1:28" x14ac:dyDescent="0.25">
      <c r="D21" s="10" t="s">
        <v>48</v>
      </c>
      <c r="E21" t="s">
        <v>89</v>
      </c>
      <c r="F21" t="s">
        <v>86</v>
      </c>
      <c r="G21" s="57">
        <f t="shared" si="1"/>
        <v>0</v>
      </c>
      <c r="H21" s="57">
        <f t="shared" si="2"/>
        <v>0</v>
      </c>
      <c r="I21" s="10">
        <f>Y21*$AD$3*'Electrification Estimator'!$F$10</f>
        <v>0</v>
      </c>
      <c r="J21">
        <f>Z21*$AD$3*'Electrification Estimator'!$F$10</f>
        <v>0</v>
      </c>
      <c r="K21">
        <f t="shared" si="5"/>
        <v>0</v>
      </c>
      <c r="L21">
        <f t="shared" si="6"/>
        <v>0</v>
      </c>
      <c r="M21" s="3">
        <f t="shared" si="7"/>
        <v>0</v>
      </c>
      <c r="N21" s="10">
        <f>AA21*$AD$3*'Electrification Estimator'!$F$10</f>
        <v>0</v>
      </c>
      <c r="O21">
        <f>AB21*$AD$3*'Electrification Estimator'!$F$10</f>
        <v>0</v>
      </c>
      <c r="P21">
        <f t="shared" si="8"/>
        <v>0</v>
      </c>
      <c r="Q21">
        <f t="shared" si="9"/>
        <v>0</v>
      </c>
      <c r="R21" s="3">
        <f t="shared" si="3"/>
        <v>0</v>
      </c>
      <c r="S21" s="29">
        <f t="shared" si="10"/>
        <v>0</v>
      </c>
      <c r="T21">
        <f t="shared" si="11"/>
        <v>0</v>
      </c>
      <c r="U21" s="30" t="e">
        <f t="shared" si="12"/>
        <v>#DIV/0!</v>
      </c>
      <c r="V21" s="2" t="e">
        <f t="shared" si="12"/>
        <v>#DIV/0!</v>
      </c>
      <c r="W21" s="46">
        <f t="shared" si="4"/>
        <v>0</v>
      </c>
      <c r="Y21" s="10">
        <v>3460</v>
      </c>
      <c r="Z21" s="58">
        <v>72.5</v>
      </c>
      <c r="AA21" s="10">
        <v>4040</v>
      </c>
      <c r="AB21" s="58">
        <v>0</v>
      </c>
    </row>
    <row r="22" spans="1:28" x14ac:dyDescent="0.25">
      <c r="D22" s="10" t="s">
        <v>48</v>
      </c>
      <c r="E22" t="s">
        <v>89</v>
      </c>
      <c r="F22" t="s">
        <v>87</v>
      </c>
      <c r="G22" s="57">
        <f t="shared" si="1"/>
        <v>0</v>
      </c>
      <c r="H22" s="57">
        <f t="shared" si="2"/>
        <v>0</v>
      </c>
      <c r="I22" s="10">
        <f>Y22*$AD$3*'Electrification Estimator'!$F$10</f>
        <v>0</v>
      </c>
      <c r="J22">
        <f>Z22*$AD$3*'Electrification Estimator'!$F$10</f>
        <v>0</v>
      </c>
      <c r="K22">
        <f t="shared" si="5"/>
        <v>0</v>
      </c>
      <c r="L22">
        <f t="shared" si="6"/>
        <v>0</v>
      </c>
      <c r="M22" s="3">
        <f t="shared" si="7"/>
        <v>0</v>
      </c>
      <c r="N22" s="10">
        <f>AA22*$AD$3*'Electrification Estimator'!$F$10</f>
        <v>0</v>
      </c>
      <c r="O22">
        <f>AB22*$AD$3*'Electrification Estimator'!$F$10</f>
        <v>0</v>
      </c>
      <c r="P22">
        <f t="shared" si="8"/>
        <v>0</v>
      </c>
      <c r="Q22">
        <f t="shared" si="9"/>
        <v>0</v>
      </c>
      <c r="R22" s="3">
        <f t="shared" si="3"/>
        <v>0</v>
      </c>
      <c r="S22" s="29">
        <f t="shared" si="10"/>
        <v>0</v>
      </c>
      <c r="T22">
        <f t="shared" si="11"/>
        <v>0</v>
      </c>
      <c r="U22" s="30" t="e">
        <f t="shared" si="12"/>
        <v>#DIV/0!</v>
      </c>
      <c r="V22" s="2" t="e">
        <f t="shared" si="12"/>
        <v>#DIV/0!</v>
      </c>
      <c r="W22" s="46">
        <f t="shared" si="4"/>
        <v>0</v>
      </c>
      <c r="Y22" s="10">
        <v>3460</v>
      </c>
      <c r="Z22" s="58">
        <v>72.5</v>
      </c>
      <c r="AA22" s="10">
        <v>3990</v>
      </c>
      <c r="AB22" s="58">
        <v>0</v>
      </c>
    </row>
    <row r="23" spans="1:28" x14ac:dyDescent="0.25">
      <c r="D23" s="10" t="s">
        <v>48</v>
      </c>
      <c r="E23" t="s">
        <v>89</v>
      </c>
      <c r="F23" t="s">
        <v>88</v>
      </c>
      <c r="G23" s="57">
        <f t="shared" si="1"/>
        <v>0</v>
      </c>
      <c r="H23" s="57">
        <f t="shared" si="2"/>
        <v>0</v>
      </c>
      <c r="I23" s="10">
        <f>Y23*$AD$3*'Electrification Estimator'!$F$10</f>
        <v>0</v>
      </c>
      <c r="J23">
        <f>Z23*$AD$3*'Electrification Estimator'!$F$10</f>
        <v>0</v>
      </c>
      <c r="K23">
        <f t="shared" si="5"/>
        <v>0</v>
      </c>
      <c r="L23" s="13">
        <f t="shared" si="6"/>
        <v>0</v>
      </c>
      <c r="M23" s="3">
        <f t="shared" si="7"/>
        <v>0</v>
      </c>
      <c r="N23" s="10">
        <f>AA23*$AD$3*'Electrification Estimator'!$F$10</f>
        <v>0</v>
      </c>
      <c r="O23">
        <f>AB23*$AD$3*'Electrification Estimator'!$F$10</f>
        <v>0</v>
      </c>
      <c r="P23">
        <f t="shared" si="8"/>
        <v>0</v>
      </c>
      <c r="Q23" s="13">
        <f t="shared" si="9"/>
        <v>0</v>
      </c>
      <c r="R23" s="3">
        <f t="shared" si="3"/>
        <v>0</v>
      </c>
      <c r="S23" s="29">
        <f t="shared" si="10"/>
        <v>0</v>
      </c>
      <c r="T23">
        <f t="shared" si="11"/>
        <v>0</v>
      </c>
      <c r="U23" s="30" t="e">
        <f t="shared" si="12"/>
        <v>#DIV/0!</v>
      </c>
      <c r="V23" s="2" t="e">
        <f t="shared" si="12"/>
        <v>#DIV/0!</v>
      </c>
      <c r="W23" s="46">
        <f t="shared" si="4"/>
        <v>0</v>
      </c>
      <c r="Y23" s="10">
        <v>3460</v>
      </c>
      <c r="Z23" s="58">
        <v>72.5</v>
      </c>
      <c r="AA23" s="10">
        <v>3960</v>
      </c>
      <c r="AB23" s="58">
        <v>0</v>
      </c>
    </row>
    <row r="24" spans="1:28" x14ac:dyDescent="0.25">
      <c r="D24" s="10" t="s">
        <v>48</v>
      </c>
      <c r="E24" t="s">
        <v>90</v>
      </c>
      <c r="F24" t="s">
        <v>91</v>
      </c>
      <c r="G24" s="57">
        <f t="shared" si="1"/>
        <v>0</v>
      </c>
      <c r="H24" s="57">
        <f t="shared" si="2"/>
        <v>0</v>
      </c>
      <c r="I24" s="10">
        <f>Y24*$AD$3*'Electrification Estimator'!$F$10</f>
        <v>0</v>
      </c>
      <c r="J24">
        <f>Z24*$AD$3*'Electrification Estimator'!$F$10</f>
        <v>0</v>
      </c>
      <c r="K24">
        <f t="shared" si="5"/>
        <v>0</v>
      </c>
      <c r="L24" s="13">
        <f t="shared" si="6"/>
        <v>0</v>
      </c>
      <c r="M24" s="3">
        <f t="shared" si="7"/>
        <v>0</v>
      </c>
      <c r="N24" s="10">
        <f>AA24*$AD$3*'Electrification Estimator'!$F$10</f>
        <v>0</v>
      </c>
      <c r="O24">
        <f>AB24*$AD$3*'Electrification Estimator'!$F$10</f>
        <v>0</v>
      </c>
      <c r="P24">
        <f t="shared" si="8"/>
        <v>0</v>
      </c>
      <c r="Q24" s="13">
        <f t="shared" si="9"/>
        <v>0</v>
      </c>
      <c r="R24" s="3">
        <f t="shared" si="3"/>
        <v>0</v>
      </c>
      <c r="S24" s="29">
        <f t="shared" si="10"/>
        <v>0</v>
      </c>
      <c r="T24">
        <f t="shared" si="11"/>
        <v>0</v>
      </c>
      <c r="U24" s="30" t="e">
        <f t="shared" si="12"/>
        <v>#DIV/0!</v>
      </c>
      <c r="V24" s="2" t="e">
        <f t="shared" si="12"/>
        <v>#DIV/0!</v>
      </c>
      <c r="W24" s="46">
        <f t="shared" si="4"/>
        <v>0</v>
      </c>
      <c r="Y24" s="10">
        <v>279</v>
      </c>
      <c r="Z24" s="58">
        <v>85</v>
      </c>
      <c r="AA24" s="10">
        <v>881</v>
      </c>
      <c r="AB24" s="58">
        <v>0</v>
      </c>
    </row>
    <row r="25" spans="1:28" x14ac:dyDescent="0.25">
      <c r="D25" s="10" t="s">
        <v>48</v>
      </c>
      <c r="E25" t="s">
        <v>90</v>
      </c>
      <c r="F25" t="s">
        <v>92</v>
      </c>
      <c r="G25" s="57">
        <f t="shared" si="1"/>
        <v>0</v>
      </c>
      <c r="H25" s="57">
        <f t="shared" si="2"/>
        <v>0</v>
      </c>
      <c r="I25" s="10">
        <f>Y25*$AD$3*'Electrification Estimator'!$F$10</f>
        <v>0</v>
      </c>
      <c r="J25">
        <f>Z25*$AD$3*'Electrification Estimator'!$F$10</f>
        <v>0</v>
      </c>
      <c r="K25">
        <f t="shared" si="5"/>
        <v>0</v>
      </c>
      <c r="L25" s="13">
        <f t="shared" si="6"/>
        <v>0</v>
      </c>
      <c r="M25" s="3">
        <f t="shared" si="7"/>
        <v>0</v>
      </c>
      <c r="N25" s="10">
        <f>AA25*$AD$3*'Electrification Estimator'!$F$10</f>
        <v>0</v>
      </c>
      <c r="O25">
        <f>AB25*$AD$3*'Electrification Estimator'!$F$10</f>
        <v>0</v>
      </c>
      <c r="P25">
        <f t="shared" si="8"/>
        <v>0</v>
      </c>
      <c r="Q25" s="13">
        <f t="shared" si="9"/>
        <v>0</v>
      </c>
      <c r="R25" s="3">
        <f t="shared" si="3"/>
        <v>0</v>
      </c>
      <c r="S25" s="29">
        <f t="shared" si="10"/>
        <v>0</v>
      </c>
      <c r="T25">
        <f t="shared" si="11"/>
        <v>0</v>
      </c>
      <c r="U25" s="30" t="e">
        <f t="shared" si="12"/>
        <v>#DIV/0!</v>
      </c>
      <c r="V25" s="2" t="e">
        <f t="shared" si="12"/>
        <v>#DIV/0!</v>
      </c>
      <c r="W25" s="46">
        <f t="shared" si="4"/>
        <v>0</v>
      </c>
      <c r="Y25" s="10">
        <v>279</v>
      </c>
      <c r="Z25" s="58">
        <v>85</v>
      </c>
      <c r="AA25" s="10">
        <v>870</v>
      </c>
      <c r="AB25" s="58">
        <v>0</v>
      </c>
    </row>
    <row r="26" spans="1:28" x14ac:dyDescent="0.25">
      <c r="D26" s="10" t="s">
        <v>48</v>
      </c>
      <c r="E26" t="s">
        <v>90</v>
      </c>
      <c r="F26" t="s">
        <v>93</v>
      </c>
      <c r="G26" s="57">
        <f t="shared" si="1"/>
        <v>0</v>
      </c>
      <c r="H26" s="57">
        <f t="shared" si="2"/>
        <v>0</v>
      </c>
      <c r="I26" s="10">
        <f>Y26*$AD$3*'Electrification Estimator'!$F$10</f>
        <v>0</v>
      </c>
      <c r="J26">
        <f>Z26*$AD$3*'Electrification Estimator'!$F$10</f>
        <v>0</v>
      </c>
      <c r="K26">
        <f t="shared" si="5"/>
        <v>0</v>
      </c>
      <c r="L26" s="13">
        <f t="shared" si="6"/>
        <v>0</v>
      </c>
      <c r="M26" s="3">
        <f t="shared" si="7"/>
        <v>0</v>
      </c>
      <c r="N26" s="10">
        <f>AA26*$AD$3*'Electrification Estimator'!$F$10</f>
        <v>0</v>
      </c>
      <c r="O26">
        <f>AB26*$AD$3*'Electrification Estimator'!$F$10</f>
        <v>0</v>
      </c>
      <c r="P26">
        <f t="shared" si="8"/>
        <v>0</v>
      </c>
      <c r="Q26" s="13">
        <f t="shared" si="9"/>
        <v>0</v>
      </c>
      <c r="R26" s="3">
        <f t="shared" si="3"/>
        <v>0</v>
      </c>
      <c r="S26" s="29">
        <f t="shared" si="10"/>
        <v>0</v>
      </c>
      <c r="T26">
        <f t="shared" si="11"/>
        <v>0</v>
      </c>
      <c r="U26" s="30" t="e">
        <f t="shared" si="12"/>
        <v>#DIV/0!</v>
      </c>
      <c r="V26" s="2" t="e">
        <f t="shared" si="12"/>
        <v>#DIV/0!</v>
      </c>
      <c r="W26" s="46">
        <f t="shared" si="4"/>
        <v>0</v>
      </c>
      <c r="Y26" s="10">
        <v>279</v>
      </c>
      <c r="Z26" s="58">
        <v>85</v>
      </c>
      <c r="AA26" s="10">
        <v>835</v>
      </c>
      <c r="AB26" s="58">
        <v>0</v>
      </c>
    </row>
    <row r="27" spans="1:28" x14ac:dyDescent="0.25">
      <c r="D27" s="10" t="s">
        <v>48</v>
      </c>
      <c r="E27" t="s">
        <v>90</v>
      </c>
      <c r="F27" t="s">
        <v>94</v>
      </c>
      <c r="G27" s="57">
        <f t="shared" si="1"/>
        <v>0</v>
      </c>
      <c r="H27" s="57">
        <f t="shared" si="2"/>
        <v>0</v>
      </c>
      <c r="I27" s="10">
        <f>Y27*$AD$3*'Electrification Estimator'!$F$10</f>
        <v>0</v>
      </c>
      <c r="J27">
        <f>Z27*$AD$3*'Electrification Estimator'!$F$10</f>
        <v>0</v>
      </c>
      <c r="K27">
        <f t="shared" si="5"/>
        <v>0</v>
      </c>
      <c r="L27" s="13">
        <f t="shared" si="6"/>
        <v>0</v>
      </c>
      <c r="M27" s="3">
        <f t="shared" si="7"/>
        <v>0</v>
      </c>
      <c r="N27" s="10">
        <f>AA27*$AD$3*'Electrification Estimator'!$F$10</f>
        <v>0</v>
      </c>
      <c r="O27">
        <f>AB27*$AD$3*'Electrification Estimator'!$F$10</f>
        <v>0</v>
      </c>
      <c r="P27">
        <f t="shared" si="8"/>
        <v>0</v>
      </c>
      <c r="Q27" s="13">
        <f t="shared" si="9"/>
        <v>0</v>
      </c>
      <c r="R27" s="3">
        <f t="shared" si="3"/>
        <v>0</v>
      </c>
      <c r="S27" s="29">
        <f t="shared" si="10"/>
        <v>0</v>
      </c>
      <c r="T27">
        <f t="shared" si="11"/>
        <v>0</v>
      </c>
      <c r="U27" s="30" t="e">
        <f t="shared" si="12"/>
        <v>#DIV/0!</v>
      </c>
      <c r="V27" s="2" t="e">
        <f t="shared" si="12"/>
        <v>#DIV/0!</v>
      </c>
      <c r="W27" s="46">
        <f t="shared" si="4"/>
        <v>0</v>
      </c>
      <c r="Y27" s="10">
        <v>279</v>
      </c>
      <c r="Z27" s="58">
        <v>85</v>
      </c>
      <c r="AA27" s="10">
        <v>809</v>
      </c>
      <c r="AB27" s="58">
        <v>0</v>
      </c>
    </row>
    <row r="28" spans="1:28" x14ac:dyDescent="0.25">
      <c r="D28" s="10" t="s">
        <v>47</v>
      </c>
      <c r="E28" s="47" t="s">
        <v>130</v>
      </c>
      <c r="F28" t="s">
        <v>131</v>
      </c>
      <c r="G28" s="57">
        <f t="shared" si="1"/>
        <v>0</v>
      </c>
      <c r="H28" s="57">
        <f t="shared" si="2"/>
        <v>0</v>
      </c>
      <c r="I28" s="10">
        <f>Y28*$AD$3*'Electrification Estimator'!$F$10</f>
        <v>0</v>
      </c>
      <c r="J28">
        <f>Z28*$AD$3*'Electrification Estimator'!$F$10</f>
        <v>0</v>
      </c>
      <c r="K28">
        <f t="shared" ref="K28:K35" si="13">J28*$B$3</f>
        <v>0</v>
      </c>
      <c r="L28" s="13">
        <f t="shared" ref="L28:L35" si="14">J28*$B$4+I28*$B$5</f>
        <v>0</v>
      </c>
      <c r="M28" s="3">
        <f t="shared" ref="M28:M35" si="15">I28*$B$6+J28*$B$7</f>
        <v>0</v>
      </c>
      <c r="N28" s="10">
        <f>AA28*$AD$3*'Electrification Estimator'!$F$10</f>
        <v>0</v>
      </c>
      <c r="O28">
        <f>AB28*$AD$3*'Electrification Estimator'!$F$10</f>
        <v>0</v>
      </c>
      <c r="P28">
        <f t="shared" ref="P28:P35" si="16">O28*$B$3</f>
        <v>0</v>
      </c>
      <c r="Q28" s="13">
        <f t="shared" ref="Q28:Q35" si="17">O28*$B$4+N28*$B$5</f>
        <v>0</v>
      </c>
      <c r="R28" s="3">
        <f>N28*$B$6+O28*$B$7</f>
        <v>0</v>
      </c>
      <c r="S28" s="29">
        <f t="shared" ref="S28:S35" si="18">R28-M28</f>
        <v>0</v>
      </c>
      <c r="T28">
        <f t="shared" ref="T28:T35" si="19">H28*$B$3</f>
        <v>0</v>
      </c>
      <c r="U28" s="30" t="e">
        <f t="shared" ref="U28:U35" si="20">1-Q28/L28</f>
        <v>#DIV/0!</v>
      </c>
      <c r="V28" s="2" t="e">
        <f t="shared" ref="V28:V35" si="21">1-R28/M28</f>
        <v>#DIV/0!</v>
      </c>
      <c r="W28" s="46">
        <f t="shared" ref="W28:W35" si="22">K28-P28</f>
        <v>0</v>
      </c>
      <c r="Y28" s="10">
        <v>342</v>
      </c>
      <c r="Z28" s="58">
        <v>43.4</v>
      </c>
      <c r="AA28" s="10">
        <v>635</v>
      </c>
      <c r="AB28" s="58">
        <v>0</v>
      </c>
    </row>
    <row r="29" spans="1:28" x14ac:dyDescent="0.25">
      <c r="D29" s="10" t="s">
        <v>48</v>
      </c>
      <c r="E29" s="47" t="s">
        <v>132</v>
      </c>
      <c r="F29" t="s">
        <v>133</v>
      </c>
      <c r="G29" s="57">
        <f t="shared" si="1"/>
        <v>0</v>
      </c>
      <c r="H29" s="57">
        <f t="shared" si="2"/>
        <v>0</v>
      </c>
      <c r="I29" s="10">
        <f>Y29*$AD$3*'Electrification Estimator'!$F$10</f>
        <v>0</v>
      </c>
      <c r="J29">
        <f>Z29*$AD$3*'Electrification Estimator'!$F$10</f>
        <v>0</v>
      </c>
      <c r="K29">
        <f t="shared" si="13"/>
        <v>0</v>
      </c>
      <c r="L29" s="13">
        <f t="shared" si="14"/>
        <v>0</v>
      </c>
      <c r="M29" s="3">
        <f t="shared" si="15"/>
        <v>0</v>
      </c>
      <c r="N29" s="10">
        <f>AA29*$AD$3*'Electrification Estimator'!$F$10</f>
        <v>0</v>
      </c>
      <c r="O29">
        <f>AB29*$AD$3*'Electrification Estimator'!$F$10</f>
        <v>0</v>
      </c>
      <c r="P29">
        <f t="shared" si="16"/>
        <v>0</v>
      </c>
      <c r="Q29" s="13">
        <f t="shared" si="17"/>
        <v>0</v>
      </c>
      <c r="R29" s="3">
        <f t="shared" ref="R29:R35" si="23">N29*$B$6+O29*$B$7</f>
        <v>0</v>
      </c>
      <c r="S29" s="29">
        <f t="shared" si="18"/>
        <v>0</v>
      </c>
      <c r="T29">
        <f t="shared" si="19"/>
        <v>0</v>
      </c>
      <c r="U29" s="30" t="e">
        <f t="shared" si="20"/>
        <v>#DIV/0!</v>
      </c>
      <c r="V29" s="2" t="e">
        <f t="shared" si="21"/>
        <v>#DIV/0!</v>
      </c>
      <c r="W29" s="46">
        <f t="shared" si="22"/>
        <v>0</v>
      </c>
      <c r="Y29" s="10">
        <v>312</v>
      </c>
      <c r="Z29" s="58">
        <v>84.7</v>
      </c>
      <c r="AA29" s="10">
        <v>881</v>
      </c>
      <c r="AB29" s="58">
        <v>0</v>
      </c>
    </row>
    <row r="30" spans="1:28" x14ac:dyDescent="0.25">
      <c r="D30" s="10" t="s">
        <v>47</v>
      </c>
      <c r="E30" s="47" t="s">
        <v>130</v>
      </c>
      <c r="F30" t="s">
        <v>134</v>
      </c>
      <c r="G30" s="57">
        <f t="shared" si="1"/>
        <v>0</v>
      </c>
      <c r="H30" s="57">
        <f t="shared" si="2"/>
        <v>0</v>
      </c>
      <c r="I30" s="10">
        <f>Y30*$AD$3*'Electrification Estimator'!$F$10</f>
        <v>0</v>
      </c>
      <c r="J30">
        <f>Z30*$AD$3*'Electrification Estimator'!$F$10</f>
        <v>0</v>
      </c>
      <c r="K30">
        <f t="shared" si="13"/>
        <v>0</v>
      </c>
      <c r="L30" s="13">
        <f t="shared" si="14"/>
        <v>0</v>
      </c>
      <c r="M30" s="3">
        <f t="shared" si="15"/>
        <v>0</v>
      </c>
      <c r="N30" s="10">
        <f>AA30*$AD$3*'Electrification Estimator'!$F$10</f>
        <v>0</v>
      </c>
      <c r="O30">
        <f>AB30*$AD$3*'Electrification Estimator'!$F$10</f>
        <v>0</v>
      </c>
      <c r="P30">
        <f t="shared" si="16"/>
        <v>0</v>
      </c>
      <c r="Q30" s="13">
        <f t="shared" si="17"/>
        <v>0</v>
      </c>
      <c r="R30" s="3">
        <f t="shared" si="23"/>
        <v>0</v>
      </c>
      <c r="S30" s="29">
        <f t="shared" si="18"/>
        <v>0</v>
      </c>
      <c r="T30">
        <f t="shared" si="19"/>
        <v>0</v>
      </c>
      <c r="U30" s="30" t="e">
        <f t="shared" si="20"/>
        <v>#DIV/0!</v>
      </c>
      <c r="V30" s="2" t="e">
        <f t="shared" si="21"/>
        <v>#DIV/0!</v>
      </c>
      <c r="W30" s="46">
        <f t="shared" si="22"/>
        <v>0</v>
      </c>
      <c r="Y30" s="10">
        <v>342</v>
      </c>
      <c r="Z30" s="58">
        <v>43.4</v>
      </c>
      <c r="AA30" s="10">
        <v>633</v>
      </c>
      <c r="AB30" s="58">
        <v>0</v>
      </c>
    </row>
    <row r="31" spans="1:28" x14ac:dyDescent="0.25">
      <c r="D31" s="10" t="s">
        <v>48</v>
      </c>
      <c r="E31" s="47" t="s">
        <v>132</v>
      </c>
      <c r="F31" t="s">
        <v>135</v>
      </c>
      <c r="G31" s="57">
        <f t="shared" si="1"/>
        <v>0</v>
      </c>
      <c r="H31" s="57">
        <f t="shared" si="2"/>
        <v>0</v>
      </c>
      <c r="I31" s="10">
        <f>Y31*$AD$3*'Electrification Estimator'!$F$10</f>
        <v>0</v>
      </c>
      <c r="J31">
        <f>Z31*$AD$3*'Electrification Estimator'!$F$10</f>
        <v>0</v>
      </c>
      <c r="K31">
        <f t="shared" si="13"/>
        <v>0</v>
      </c>
      <c r="L31" s="13">
        <f t="shared" si="14"/>
        <v>0</v>
      </c>
      <c r="M31" s="3">
        <f t="shared" si="15"/>
        <v>0</v>
      </c>
      <c r="N31" s="10">
        <f>AA31*$AD$3*'Electrification Estimator'!$F$10</f>
        <v>0</v>
      </c>
      <c r="O31">
        <f>AB31*$AD$3*'Electrification Estimator'!$F$10</f>
        <v>0</v>
      </c>
      <c r="P31">
        <f t="shared" si="16"/>
        <v>0</v>
      </c>
      <c r="Q31" s="13">
        <f t="shared" si="17"/>
        <v>0</v>
      </c>
      <c r="R31" s="3">
        <f t="shared" si="23"/>
        <v>0</v>
      </c>
      <c r="S31" s="29">
        <f t="shared" si="18"/>
        <v>0</v>
      </c>
      <c r="T31">
        <f t="shared" si="19"/>
        <v>0</v>
      </c>
      <c r="U31" s="30" t="e">
        <f t="shared" si="20"/>
        <v>#DIV/0!</v>
      </c>
      <c r="V31" s="2" t="e">
        <f t="shared" si="21"/>
        <v>#DIV/0!</v>
      </c>
      <c r="W31" s="46">
        <f t="shared" si="22"/>
        <v>0</v>
      </c>
      <c r="Y31" s="10">
        <v>312</v>
      </c>
      <c r="Z31" s="58">
        <v>84.7</v>
      </c>
      <c r="AA31" s="10">
        <v>870</v>
      </c>
      <c r="AB31" s="58">
        <v>0</v>
      </c>
    </row>
    <row r="32" spans="1:28" x14ac:dyDescent="0.25">
      <c r="D32" s="10" t="s">
        <v>47</v>
      </c>
      <c r="E32" s="47" t="s">
        <v>130</v>
      </c>
      <c r="F32" t="s">
        <v>136</v>
      </c>
      <c r="G32" s="57">
        <f t="shared" si="1"/>
        <v>0</v>
      </c>
      <c r="H32" s="57">
        <f t="shared" si="2"/>
        <v>0</v>
      </c>
      <c r="I32" s="10">
        <f>Y32*$AD$3*'Electrification Estimator'!$F$10</f>
        <v>0</v>
      </c>
      <c r="J32">
        <f>Z32*$AD$3*'Electrification Estimator'!$F$10</f>
        <v>0</v>
      </c>
      <c r="K32">
        <f t="shared" si="13"/>
        <v>0</v>
      </c>
      <c r="L32" s="13">
        <f t="shared" si="14"/>
        <v>0</v>
      </c>
      <c r="M32" s="3">
        <f t="shared" si="15"/>
        <v>0</v>
      </c>
      <c r="N32" s="10">
        <f>AA32*$AD$3*'Electrification Estimator'!$F$10</f>
        <v>0</v>
      </c>
      <c r="O32">
        <f>AB32*$AD$3*'Electrification Estimator'!$F$10</f>
        <v>0</v>
      </c>
      <c r="P32">
        <f t="shared" si="16"/>
        <v>0</v>
      </c>
      <c r="Q32" s="13">
        <f t="shared" si="17"/>
        <v>0</v>
      </c>
      <c r="R32" s="3">
        <f t="shared" si="23"/>
        <v>0</v>
      </c>
      <c r="S32" s="29">
        <f t="shared" si="18"/>
        <v>0</v>
      </c>
      <c r="T32">
        <f t="shared" si="19"/>
        <v>0</v>
      </c>
      <c r="U32" s="30" t="e">
        <f t="shared" si="20"/>
        <v>#DIV/0!</v>
      </c>
      <c r="V32" s="2" t="e">
        <f t="shared" si="21"/>
        <v>#DIV/0!</v>
      </c>
      <c r="W32" s="46">
        <f t="shared" si="22"/>
        <v>0</v>
      </c>
      <c r="Y32" s="10">
        <v>342</v>
      </c>
      <c r="Z32" s="58">
        <v>43.4</v>
      </c>
      <c r="AA32" s="10">
        <v>606</v>
      </c>
      <c r="AB32" s="58">
        <v>0</v>
      </c>
    </row>
    <row r="33" spans="4:29" x14ac:dyDescent="0.25">
      <c r="D33" s="10" t="s">
        <v>48</v>
      </c>
      <c r="E33" s="47" t="s">
        <v>132</v>
      </c>
      <c r="F33" t="s">
        <v>137</v>
      </c>
      <c r="G33" s="57">
        <f t="shared" si="1"/>
        <v>0</v>
      </c>
      <c r="H33" s="57">
        <f t="shared" si="2"/>
        <v>0</v>
      </c>
      <c r="I33" s="10">
        <f>Y33*$AD$3*'Electrification Estimator'!$F$10</f>
        <v>0</v>
      </c>
      <c r="J33">
        <f>Z33*$AD$3*'Electrification Estimator'!$F$10</f>
        <v>0</v>
      </c>
      <c r="K33">
        <f t="shared" si="13"/>
        <v>0</v>
      </c>
      <c r="L33" s="13">
        <f t="shared" si="14"/>
        <v>0</v>
      </c>
      <c r="M33" s="3">
        <f t="shared" si="15"/>
        <v>0</v>
      </c>
      <c r="N33" s="10">
        <f>AA33*$AD$3*'Electrification Estimator'!$F$10</f>
        <v>0</v>
      </c>
      <c r="O33">
        <f>AB33*$AD$3*'Electrification Estimator'!$F$10</f>
        <v>0</v>
      </c>
      <c r="P33">
        <f t="shared" si="16"/>
        <v>0</v>
      </c>
      <c r="Q33" s="13">
        <f t="shared" si="17"/>
        <v>0</v>
      </c>
      <c r="R33" s="3">
        <f t="shared" si="23"/>
        <v>0</v>
      </c>
      <c r="S33" s="29">
        <f t="shared" si="18"/>
        <v>0</v>
      </c>
      <c r="T33">
        <f t="shared" si="19"/>
        <v>0</v>
      </c>
      <c r="U33" s="30" t="e">
        <f t="shared" si="20"/>
        <v>#DIV/0!</v>
      </c>
      <c r="V33" s="2" t="e">
        <f t="shared" si="21"/>
        <v>#DIV/0!</v>
      </c>
      <c r="W33" s="46">
        <f t="shared" si="22"/>
        <v>0</v>
      </c>
      <c r="Y33" s="10">
        <v>312</v>
      </c>
      <c r="Z33" s="58">
        <v>84.7</v>
      </c>
      <c r="AA33" s="10">
        <v>835</v>
      </c>
      <c r="AB33" s="58">
        <v>0</v>
      </c>
    </row>
    <row r="34" spans="4:29" x14ac:dyDescent="0.25">
      <c r="D34" s="10" t="s">
        <v>47</v>
      </c>
      <c r="E34" s="47" t="s">
        <v>130</v>
      </c>
      <c r="F34" t="s">
        <v>138</v>
      </c>
      <c r="G34" s="57">
        <f t="shared" si="1"/>
        <v>0</v>
      </c>
      <c r="H34" s="57">
        <f t="shared" si="2"/>
        <v>0</v>
      </c>
      <c r="I34" s="10">
        <f>Y34*$AD$3*'Electrification Estimator'!$F$10</f>
        <v>0</v>
      </c>
      <c r="J34">
        <f>Z34*$AD$3*'Electrification Estimator'!$F$10</f>
        <v>0</v>
      </c>
      <c r="K34">
        <f t="shared" si="13"/>
        <v>0</v>
      </c>
      <c r="L34" s="13">
        <f t="shared" si="14"/>
        <v>0</v>
      </c>
      <c r="M34" s="3">
        <f t="shared" si="15"/>
        <v>0</v>
      </c>
      <c r="N34" s="10">
        <f>AA34*$AD$3*'Electrification Estimator'!$F$10</f>
        <v>0</v>
      </c>
      <c r="O34">
        <f>AB34*$AD$3*'Electrification Estimator'!$F$10</f>
        <v>0</v>
      </c>
      <c r="P34">
        <f t="shared" si="16"/>
        <v>0</v>
      </c>
      <c r="Q34" s="13">
        <f t="shared" si="17"/>
        <v>0</v>
      </c>
      <c r="R34" s="3">
        <f t="shared" si="23"/>
        <v>0</v>
      </c>
      <c r="S34" s="29">
        <f t="shared" si="18"/>
        <v>0</v>
      </c>
      <c r="T34">
        <f t="shared" si="19"/>
        <v>0</v>
      </c>
      <c r="U34" s="30" t="e">
        <f t="shared" si="20"/>
        <v>#DIV/0!</v>
      </c>
      <c r="V34" s="2" t="e">
        <f t="shared" si="21"/>
        <v>#DIV/0!</v>
      </c>
      <c r="W34" s="46">
        <f t="shared" si="22"/>
        <v>0</v>
      </c>
      <c r="Y34" s="10">
        <v>342</v>
      </c>
      <c r="Z34" s="58">
        <v>43.4</v>
      </c>
      <c r="AA34" s="10">
        <v>585</v>
      </c>
      <c r="AB34" s="58">
        <v>0</v>
      </c>
    </row>
    <row r="35" spans="4:29" x14ac:dyDescent="0.25">
      <c r="D35" s="10" t="s">
        <v>48</v>
      </c>
      <c r="E35" s="47" t="s">
        <v>132</v>
      </c>
      <c r="F35" t="s">
        <v>139</v>
      </c>
      <c r="G35" s="57">
        <f t="shared" si="1"/>
        <v>0</v>
      </c>
      <c r="H35" s="57">
        <f t="shared" si="2"/>
        <v>0</v>
      </c>
      <c r="I35" s="10">
        <f>Y35*$AD$3*'Electrification Estimator'!$F$10</f>
        <v>0</v>
      </c>
      <c r="J35">
        <f>Z35*$AD$3*'Electrification Estimator'!$F$10</f>
        <v>0</v>
      </c>
      <c r="K35">
        <f t="shared" si="13"/>
        <v>0</v>
      </c>
      <c r="L35" s="13">
        <f t="shared" si="14"/>
        <v>0</v>
      </c>
      <c r="M35" s="3">
        <f t="shared" si="15"/>
        <v>0</v>
      </c>
      <c r="N35" s="10">
        <f>AA35*$AD$3*'Electrification Estimator'!$F$10</f>
        <v>0</v>
      </c>
      <c r="O35">
        <f>AB35*$AD$3*'Electrification Estimator'!$F$10</f>
        <v>0</v>
      </c>
      <c r="P35">
        <f t="shared" si="16"/>
        <v>0</v>
      </c>
      <c r="Q35" s="13">
        <f t="shared" si="17"/>
        <v>0</v>
      </c>
      <c r="R35" s="3">
        <f t="shared" si="23"/>
        <v>0</v>
      </c>
      <c r="S35" s="29">
        <f t="shared" si="18"/>
        <v>0</v>
      </c>
      <c r="T35">
        <f t="shared" si="19"/>
        <v>0</v>
      </c>
      <c r="U35" s="30" t="e">
        <f t="shared" si="20"/>
        <v>#DIV/0!</v>
      </c>
      <c r="V35" s="2" t="e">
        <f t="shared" si="21"/>
        <v>#DIV/0!</v>
      </c>
      <c r="W35" s="46">
        <f t="shared" si="22"/>
        <v>0</v>
      </c>
      <c r="Y35" s="10">
        <v>312</v>
      </c>
      <c r="Z35">
        <v>84.7</v>
      </c>
      <c r="AA35" s="10">
        <v>809</v>
      </c>
      <c r="AB35">
        <v>0</v>
      </c>
      <c r="AC35" s="10"/>
    </row>
    <row r="37" spans="4:29" x14ac:dyDescent="0.25">
      <c r="G37" t="s">
        <v>216</v>
      </c>
    </row>
    <row r="38" spans="4:29" x14ac:dyDescent="0.25">
      <c r="G38" t="s">
        <v>215</v>
      </c>
      <c r="L38" s="13"/>
      <c r="Q38" s="13"/>
      <c r="W38" s="46"/>
    </row>
    <row r="39" spans="4:29" x14ac:dyDescent="0.25">
      <c r="L39" s="13"/>
      <c r="Q39" s="13"/>
      <c r="W39" s="46"/>
    </row>
    <row r="40" spans="4:29" x14ac:dyDescent="0.25">
      <c r="F40" s="47" t="s">
        <v>116</v>
      </c>
      <c r="L40" s="13"/>
      <c r="Q40" s="13"/>
      <c r="W40" s="46"/>
    </row>
    <row r="41" spans="4:29" x14ac:dyDescent="0.25">
      <c r="F41" s="47" t="s">
        <v>117</v>
      </c>
      <c r="L41" s="13"/>
      <c r="Q41" s="13"/>
      <c r="W41" s="46"/>
    </row>
    <row r="42" spans="4:29" x14ac:dyDescent="0.25">
      <c r="F42" s="47" t="s">
        <v>217</v>
      </c>
      <c r="L42" s="13"/>
      <c r="Q42" s="13"/>
      <c r="W42" s="46"/>
    </row>
    <row r="43" spans="4:29" x14ac:dyDescent="0.25">
      <c r="F43" s="47" t="s">
        <v>233</v>
      </c>
      <c r="L43" s="13"/>
      <c r="Q43" s="13"/>
      <c r="W43" s="46"/>
    </row>
    <row r="44" spans="4:29" x14ac:dyDescent="0.25">
      <c r="L44" s="13"/>
      <c r="Q44" s="13"/>
      <c r="W44" s="46"/>
    </row>
    <row r="45" spans="4:29" x14ac:dyDescent="0.25">
      <c r="F45" s="47" t="s">
        <v>175</v>
      </c>
      <c r="L45" s="13"/>
      <c r="Q45" s="13"/>
      <c r="W45" s="46"/>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sheetData>
  <sheetProtection algorithmName="SHA-512" hashValue="pkhMXgCUPQWuIlRjuc7HHHdHS9gfpYgk8OkFvIrh9NRNqVJjabcu+OnLl3FRT+/UNCbSvvjkxbRkLkyt/oJ5WQ==" saltValue="/jUceIN7Cj1CljlEFs9TFA==" spinCount="100000" sheet="1" objects="1" scenarios="1"/>
  <phoneticPr fontId="3" type="noConversion"/>
  <hyperlinks>
    <hyperlink ref="A7" r:id="rId1" xr:uid="{D69ED2CE-3227-4E78-A641-06028BB74D1D}"/>
    <hyperlink ref="A6" r:id="rId2" xr:uid="{0A0467F7-373F-4CC8-8EA7-91974DC3ADC7}"/>
    <hyperlink ref="A5" r:id="rId3" xr:uid="{E26867DE-93E9-4606-80C2-86DC5B08F4FC}"/>
    <hyperlink ref="A4" r:id="rId4" xr:uid="{C470802D-A376-4888-B795-5D5B8AA99D90}"/>
    <hyperlink ref="A3" r:id="rId5" xr:uid="{9B324C64-CACE-45E2-BB30-705EDE7334B8}"/>
    <hyperlink ref="A10" r:id="rId6" xr:uid="{BCF4D9C0-5C57-44DC-A47F-FE65FC648D4B}"/>
    <hyperlink ref="A11" r:id="rId7" xr:uid="{ABF3E471-48D9-4665-B57E-2FB2C16E6F80}"/>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README</vt:lpstr>
      <vt:lpstr>Electrification Estimator</vt:lpstr>
      <vt:lpstr>References</vt:lpstr>
      <vt:lpstr>FAQs</vt:lpstr>
      <vt:lpstr>matrix</vt:lpstr>
      <vt:lpstr>lookup</vt:lpstr>
      <vt:lpstr>hvac</vt:lpstr>
      <vt:lpstr>'README'!_Hlk122422148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Saniya Syed</dc:creator>
  <cp:lastModifiedBy>Saniya Syed</cp:lastModifiedBy>
  <cp:lastPrinted>2022-12-15T17:11:33Z</cp:lastPrinted>
  <dcterms:created xsi:type="dcterms:W3CDTF">2022-03-18T18:26:10Z</dcterms:created>
  <dcterms:modified xsi:type="dcterms:W3CDTF">2024-04-03T18:33:54Z</dcterms:modified>
</cp:coreProperties>
</file>